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山野\2021科考\食品\"/>
    </mc:Choice>
  </mc:AlternateContent>
  <xr:revisionPtr revIDLastSave="0" documentId="13_ncr:1_{9BC7940C-82B1-4DAC-9AD9-D603020C88B2}" xr6:coauthVersionLast="46" xr6:coauthVersionMax="46" xr10:uidLastSave="{00000000-0000-0000-0000-000000000000}"/>
  <bookViews>
    <workbookView xWindow="-108" yWindow="-108" windowWidth="24792" windowHeight="13464" tabRatio="943" firstSheet="3" activeTab="12" xr2:uid="{5996804B-2BF7-4525-92B3-2186C0B8549F}"/>
  </bookViews>
  <sheets>
    <sheet name="表单目录" sheetId="17" r:id="rId1"/>
    <sheet name="疑问系列" sheetId="2" r:id="rId2"/>
    <sheet name="食品安排日程版" sheetId="4" r:id="rId3"/>
    <sheet name="食品预算表" sheetId="8" r:id="rId4"/>
    <sheet name="食品罗列版" sheetId="3" r:id="rId5"/>
    <sheet name="食品安排_正餐篇V1" sheetId="6" r:id="rId6"/>
    <sheet name="食品安排_正餐篇V2" sheetId="9" r:id="rId7"/>
    <sheet name="食品安排_正餐篇V3" sheetId="11" r:id="rId8"/>
    <sheet name="食品安排_正餐篇 终版" sheetId="16" r:id="rId9"/>
    <sheet name="食品安排_行动食品篇" sheetId="7" r:id="rId10"/>
    <sheet name="食品安排_赞助统计" sheetId="10" r:id="rId11"/>
    <sheet name="食品安排_花销统计V1" sheetId="12" r:id="rId12"/>
    <sheet name="食品安排_花销统计V2" sheetId="15" r:id="rId13"/>
    <sheet name="食品_多余清单" sheetId="13" r:id="rId14"/>
  </sheets>
  <definedNames>
    <definedName name="_xlnm._FilterDatabase" localSheetId="11" hidden="1">食品安排_花销统计V1!$A$1:$J$79</definedName>
    <definedName name="_xlnm._FilterDatabase" localSheetId="12" hidden="1">食品安排_花销统计V2!$A$1:$K$81</definedName>
    <definedName name="_xlnm._FilterDatabase" localSheetId="8" hidden="1">'食品安排_正餐篇 终版'!$A$1:$R$74</definedName>
    <definedName name="_xlnm._FilterDatabase" localSheetId="7" hidden="1">食品安排_正餐篇V3!$A$1:$R$74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4" i="15" l="1"/>
  <c r="I79" i="15"/>
  <c r="E24" i="7" l="1"/>
  <c r="E23" i="7"/>
  <c r="E19" i="10"/>
  <c r="E27" i="10"/>
  <c r="E26" i="10"/>
  <c r="I79" i="16"/>
  <c r="E74" i="16"/>
  <c r="H73" i="16"/>
  <c r="G73" i="16"/>
  <c r="H72" i="16"/>
  <c r="N70" i="16"/>
  <c r="H70" i="16"/>
  <c r="G70" i="16"/>
  <c r="F70" i="16"/>
  <c r="H68" i="16"/>
  <c r="G68" i="16"/>
  <c r="F68" i="16"/>
  <c r="N67" i="16"/>
  <c r="F67" i="16" s="1"/>
  <c r="H67" i="16"/>
  <c r="G67" i="16"/>
  <c r="N66" i="16"/>
  <c r="F66" i="16" s="1"/>
  <c r="H66" i="16"/>
  <c r="G66" i="16"/>
  <c r="H65" i="16"/>
  <c r="G65" i="16"/>
  <c r="H64" i="16"/>
  <c r="G64" i="16"/>
  <c r="F64" i="16"/>
  <c r="H63" i="16"/>
  <c r="G63" i="16"/>
  <c r="F63" i="16"/>
  <c r="E62" i="16"/>
  <c r="H60" i="16"/>
  <c r="G60" i="16"/>
  <c r="F60" i="16"/>
  <c r="N59" i="16"/>
  <c r="H59" i="16"/>
  <c r="G59" i="16"/>
  <c r="F59" i="16"/>
  <c r="H58" i="16"/>
  <c r="G58" i="16"/>
  <c r="H57" i="16"/>
  <c r="G57" i="16"/>
  <c r="F57" i="16"/>
  <c r="H56" i="16"/>
  <c r="G56" i="16"/>
  <c r="F56" i="16"/>
  <c r="N55" i="16"/>
  <c r="N62" i="16" s="1"/>
  <c r="H55" i="16"/>
  <c r="G55" i="16"/>
  <c r="F55" i="16"/>
  <c r="H54" i="16"/>
  <c r="G54" i="16"/>
  <c r="F54" i="16"/>
  <c r="H53" i="16"/>
  <c r="G53" i="16"/>
  <c r="F53" i="16"/>
  <c r="F62" i="16" s="1"/>
  <c r="I85" i="16" s="1"/>
  <c r="H51" i="16"/>
  <c r="H71" i="16" s="1"/>
  <c r="G51" i="16"/>
  <c r="G61" i="16" s="1"/>
  <c r="H50" i="16"/>
  <c r="F50" i="16"/>
  <c r="E50" i="16"/>
  <c r="G50" i="16" s="1"/>
  <c r="G49" i="16"/>
  <c r="F49" i="16"/>
  <c r="N48" i="16"/>
  <c r="H48" i="16"/>
  <c r="H69" i="16" s="1"/>
  <c r="G48" i="16"/>
  <c r="G69" i="16" s="1"/>
  <c r="F48" i="16"/>
  <c r="F69" i="16" s="1"/>
  <c r="H47" i="16"/>
  <c r="G47" i="16"/>
  <c r="F47" i="16"/>
  <c r="H46" i="16"/>
  <c r="G46" i="16"/>
  <c r="F46" i="16"/>
  <c r="N45" i="16"/>
  <c r="N52" i="16" s="1"/>
  <c r="H45" i="16"/>
  <c r="G45" i="16"/>
  <c r="G52" i="16" s="1"/>
  <c r="G84" i="16" s="1"/>
  <c r="E45" i="16"/>
  <c r="E52" i="16" s="1"/>
  <c r="N44" i="16"/>
  <c r="E44" i="16"/>
  <c r="H42" i="16"/>
  <c r="H28" i="16" s="1"/>
  <c r="G42" i="16"/>
  <c r="G28" i="16" s="1"/>
  <c r="F42" i="16"/>
  <c r="N41" i="16"/>
  <c r="F41" i="16" s="1"/>
  <c r="H41" i="16"/>
  <c r="G41" i="16"/>
  <c r="H40" i="16"/>
  <c r="G40" i="16"/>
  <c r="N39" i="16"/>
  <c r="H39" i="16"/>
  <c r="G39" i="16"/>
  <c r="F39" i="16"/>
  <c r="E38" i="16"/>
  <c r="H36" i="16"/>
  <c r="H49" i="16" s="1"/>
  <c r="G36" i="16"/>
  <c r="F36" i="16"/>
  <c r="N33" i="16"/>
  <c r="N38" i="16" s="1"/>
  <c r="H33" i="16"/>
  <c r="G33" i="16"/>
  <c r="F33" i="16"/>
  <c r="H32" i="16"/>
  <c r="G32" i="16"/>
  <c r="F32" i="16"/>
  <c r="E31" i="16"/>
  <c r="H30" i="16"/>
  <c r="G30" i="16"/>
  <c r="H29" i="16"/>
  <c r="G29" i="16"/>
  <c r="F29" i="16"/>
  <c r="F28" i="16"/>
  <c r="F35" i="16" s="1"/>
  <c r="H27" i="16"/>
  <c r="G27" i="16"/>
  <c r="F27" i="16"/>
  <c r="N26" i="16"/>
  <c r="N31" i="16" s="1"/>
  <c r="H26" i="16"/>
  <c r="H31" i="16" s="1"/>
  <c r="H81" i="16" s="1"/>
  <c r="G26" i="16"/>
  <c r="F26" i="16"/>
  <c r="F31" i="16" s="1"/>
  <c r="I81" i="16" s="1"/>
  <c r="N25" i="16"/>
  <c r="E25" i="16"/>
  <c r="H24" i="16"/>
  <c r="H37" i="16" s="1"/>
  <c r="G24" i="16"/>
  <c r="G37" i="16" s="1"/>
  <c r="N22" i="16"/>
  <c r="F22" i="16" s="1"/>
  <c r="F34" i="16" s="1"/>
  <c r="G22" i="16"/>
  <c r="N21" i="16"/>
  <c r="H21" i="16"/>
  <c r="G21" i="16"/>
  <c r="F21" i="16"/>
  <c r="N20" i="16"/>
  <c r="F20" i="16"/>
  <c r="E20" i="16"/>
  <c r="H18" i="16"/>
  <c r="G18" i="16"/>
  <c r="F18" i="16"/>
  <c r="H17" i="16"/>
  <c r="G17" i="16"/>
  <c r="F17" i="16"/>
  <c r="H16" i="16"/>
  <c r="G16" i="16"/>
  <c r="N15" i="16"/>
  <c r="E15" i="16"/>
  <c r="H13" i="16"/>
  <c r="G13" i="16"/>
  <c r="F13" i="16"/>
  <c r="N12" i="16"/>
  <c r="F12" i="16" s="1"/>
  <c r="F40" i="16" s="1"/>
  <c r="H12" i="16"/>
  <c r="G12" i="16"/>
  <c r="H11" i="16"/>
  <c r="G11" i="16"/>
  <c r="F11" i="16"/>
  <c r="N9" i="16"/>
  <c r="H9" i="16"/>
  <c r="G9" i="16"/>
  <c r="F9" i="16"/>
  <c r="F15" i="16" s="1"/>
  <c r="I78" i="16" s="1"/>
  <c r="E8" i="16"/>
  <c r="H7" i="16"/>
  <c r="H14" i="16" s="1"/>
  <c r="G7" i="16"/>
  <c r="G14" i="16" s="1"/>
  <c r="H6" i="16"/>
  <c r="G6" i="16"/>
  <c r="F6" i="16"/>
  <c r="N5" i="16"/>
  <c r="F5" i="16" s="1"/>
  <c r="H5" i="16"/>
  <c r="H34" i="16" s="1"/>
  <c r="G5" i="16"/>
  <c r="G34" i="16" s="1"/>
  <c r="N4" i="16"/>
  <c r="F4" i="16" s="1"/>
  <c r="F10" i="16" s="1"/>
  <c r="H4" i="16"/>
  <c r="H10" i="16" s="1"/>
  <c r="G4" i="16"/>
  <c r="G10" i="16" s="1"/>
  <c r="N3" i="16"/>
  <c r="F3" i="16" s="1"/>
  <c r="H3" i="16"/>
  <c r="G3" i="16"/>
  <c r="H79" i="15"/>
  <c r="I75" i="15"/>
  <c r="H68" i="15"/>
  <c r="G68" i="15"/>
  <c r="I57" i="15"/>
  <c r="H57" i="15"/>
  <c r="G57" i="15"/>
  <c r="H56" i="15"/>
  <c r="H55" i="15"/>
  <c r="I45" i="15"/>
  <c r="I80" i="15" s="1"/>
  <c r="H45" i="15"/>
  <c r="G45" i="15"/>
  <c r="I39" i="15"/>
  <c r="H39" i="15"/>
  <c r="G39" i="15"/>
  <c r="I38" i="15"/>
  <c r="H38" i="15"/>
  <c r="G38" i="15"/>
  <c r="H23" i="15"/>
  <c r="H78" i="15" s="1"/>
  <c r="G23" i="15"/>
  <c r="G21" i="15"/>
  <c r="H20" i="15"/>
  <c r="H76" i="15" s="1"/>
  <c r="G20" i="15"/>
  <c r="I16" i="15"/>
  <c r="H16" i="15"/>
  <c r="G16" i="15"/>
  <c r="I15" i="15"/>
  <c r="H15" i="15"/>
  <c r="G15" i="15"/>
  <c r="I14" i="15"/>
  <c r="H14" i="15"/>
  <c r="G14" i="15"/>
  <c r="I13" i="15"/>
  <c r="H13" i="15"/>
  <c r="G13" i="15"/>
  <c r="I12" i="15"/>
  <c r="H12" i="15"/>
  <c r="G12" i="15"/>
  <c r="I10" i="15"/>
  <c r="H10" i="15"/>
  <c r="G10" i="15"/>
  <c r="I9" i="15"/>
  <c r="H9" i="15"/>
  <c r="G9" i="15"/>
  <c r="I8" i="15"/>
  <c r="H8" i="15"/>
  <c r="G8" i="15"/>
  <c r="H7" i="15"/>
  <c r="H75" i="15" s="1"/>
  <c r="G7" i="15"/>
  <c r="H80" i="15" l="1"/>
  <c r="H81" i="15" s="1"/>
  <c r="I78" i="15"/>
  <c r="I77" i="15"/>
  <c r="H77" i="15"/>
  <c r="E28" i="10"/>
  <c r="G71" i="16"/>
  <c r="H19" i="16"/>
  <c r="H15" i="16"/>
  <c r="H78" i="16" s="1"/>
  <c r="G19" i="16"/>
  <c r="G20" i="16" s="1"/>
  <c r="G79" i="16" s="1"/>
  <c r="G8" i="16"/>
  <c r="G77" i="16" s="1"/>
  <c r="J94" i="16" s="1"/>
  <c r="G15" i="16"/>
  <c r="G78" i="16" s="1"/>
  <c r="J91" i="16" s="1"/>
  <c r="H8" i="16"/>
  <c r="H77" i="16" s="1"/>
  <c r="K94" i="16" s="1"/>
  <c r="H20" i="16"/>
  <c r="H79" i="16" s="1"/>
  <c r="H25" i="16"/>
  <c r="H80" i="16" s="1"/>
  <c r="G31" i="16"/>
  <c r="G81" i="16" s="1"/>
  <c r="F38" i="16"/>
  <c r="I82" i="16" s="1"/>
  <c r="L90" i="16" s="1"/>
  <c r="F44" i="16"/>
  <c r="I83" i="16" s="1"/>
  <c r="L89" i="16" s="1"/>
  <c r="H52" i="16"/>
  <c r="H84" i="16" s="1"/>
  <c r="G35" i="16"/>
  <c r="G38" i="16" s="1"/>
  <c r="G82" i="16" s="1"/>
  <c r="J90" i="16" s="1"/>
  <c r="G23" i="16"/>
  <c r="H35" i="16"/>
  <c r="H38" i="16" s="1"/>
  <c r="H82" i="16" s="1"/>
  <c r="H23" i="16"/>
  <c r="F8" i="16"/>
  <c r="I77" i="16" s="1"/>
  <c r="G62" i="16"/>
  <c r="G85" i="16" s="1"/>
  <c r="F25" i="16"/>
  <c r="I80" i="16" s="1"/>
  <c r="L93" i="16" s="1"/>
  <c r="G25" i="16"/>
  <c r="G80" i="16" s="1"/>
  <c r="H74" i="16"/>
  <c r="H86" i="16" s="1"/>
  <c r="N8" i="16"/>
  <c r="F23" i="16"/>
  <c r="H61" i="16"/>
  <c r="H62" i="16" s="1"/>
  <c r="H85" i="16" s="1"/>
  <c r="G43" i="16"/>
  <c r="G44" i="16" s="1"/>
  <c r="G83" i="16" s="1"/>
  <c r="F45" i="16"/>
  <c r="F52" i="16" s="1"/>
  <c r="I84" i="16" s="1"/>
  <c r="F72" i="16"/>
  <c r="F74" i="16" s="1"/>
  <c r="I86" i="16" s="1"/>
  <c r="H43" i="16"/>
  <c r="H44" i="16" s="1"/>
  <c r="H83" i="16" s="1"/>
  <c r="G72" i="16"/>
  <c r="G74" i="16" s="1"/>
  <c r="G86" i="16" s="1"/>
  <c r="N74" i="16"/>
  <c r="H22" i="16"/>
  <c r="I81" i="15"/>
  <c r="H74" i="15"/>
  <c r="H82" i="15" l="1"/>
  <c r="K90" i="16"/>
  <c r="K91" i="16"/>
  <c r="J92" i="16"/>
  <c r="K92" i="16"/>
  <c r="J93" i="16"/>
  <c r="K89" i="16"/>
  <c r="K96" i="16"/>
  <c r="J89" i="16"/>
  <c r="J96" i="16"/>
  <c r="L96" i="16"/>
  <c r="K93" i="16"/>
  <c r="L91" i="16"/>
  <c r="L92" i="16"/>
  <c r="L94" i="16"/>
  <c r="H72" i="12"/>
  <c r="H79" i="12"/>
  <c r="N41" i="11"/>
  <c r="H78" i="12" l="1"/>
  <c r="H45" i="12"/>
  <c r="G45" i="12"/>
  <c r="H75" i="12" l="1"/>
  <c r="H8" i="12"/>
  <c r="H9" i="12"/>
  <c r="H10" i="12"/>
  <c r="H12" i="12"/>
  <c r="H13" i="12"/>
  <c r="H14" i="12"/>
  <c r="H15" i="12"/>
  <c r="H16" i="12"/>
  <c r="H68" i="12" l="1"/>
  <c r="G68" i="12"/>
  <c r="H56" i="12"/>
  <c r="H55" i="12"/>
  <c r="H38" i="12"/>
  <c r="H39" i="12"/>
  <c r="H23" i="12"/>
  <c r="H76" i="12" s="1"/>
  <c r="H57" i="12"/>
  <c r="H77" i="12" s="1"/>
  <c r="G57" i="12"/>
  <c r="G38" i="12"/>
  <c r="H20" i="12"/>
  <c r="H74" i="12" s="1"/>
  <c r="G21" i="12"/>
  <c r="G39" i="12"/>
  <c r="G23" i="12"/>
  <c r="H7" i="12"/>
  <c r="H73" i="12" s="1"/>
  <c r="G20" i="12"/>
  <c r="E2" i="7"/>
  <c r="G16" i="12"/>
  <c r="G15" i="12"/>
  <c r="G14" i="12"/>
  <c r="G13" i="12"/>
  <c r="G12" i="12"/>
  <c r="G10" i="12"/>
  <c r="G9" i="12"/>
  <c r="G8" i="12"/>
  <c r="G7" i="12"/>
  <c r="F67" i="11" l="1"/>
  <c r="N67" i="11"/>
  <c r="G66" i="11"/>
  <c r="H66" i="11"/>
  <c r="N66" i="11"/>
  <c r="F46" i="11" l="1"/>
  <c r="F48" i="11" l="1"/>
  <c r="N48" i="11"/>
  <c r="F28" i="11" l="1"/>
  <c r="F66" i="11"/>
  <c r="G73" i="11" l="1"/>
  <c r="H73" i="11"/>
  <c r="H51" i="11"/>
  <c r="H71" i="11" s="1"/>
  <c r="G51" i="11"/>
  <c r="G71" i="11" s="1"/>
  <c r="H24" i="11"/>
  <c r="G24" i="11"/>
  <c r="G43" i="11" s="1"/>
  <c r="E74" i="11"/>
  <c r="N70" i="11"/>
  <c r="F70" i="11" s="1"/>
  <c r="H70" i="11"/>
  <c r="G70" i="11"/>
  <c r="H68" i="11"/>
  <c r="G68" i="11"/>
  <c r="F68" i="11"/>
  <c r="N74" i="11"/>
  <c r="H67" i="11"/>
  <c r="G67" i="11"/>
  <c r="H65" i="11"/>
  <c r="G65" i="11"/>
  <c r="H64" i="11"/>
  <c r="G64" i="11"/>
  <c r="F64" i="11"/>
  <c r="H63" i="11"/>
  <c r="G63" i="11"/>
  <c r="F63" i="11"/>
  <c r="E62" i="11"/>
  <c r="H60" i="11"/>
  <c r="G60" i="11"/>
  <c r="N59" i="11"/>
  <c r="N62" i="11" s="1"/>
  <c r="H59" i="11"/>
  <c r="G59" i="11"/>
  <c r="H58" i="11"/>
  <c r="G58" i="11"/>
  <c r="H57" i="11"/>
  <c r="G57" i="11"/>
  <c r="F57" i="11"/>
  <c r="H56" i="11"/>
  <c r="G56" i="11"/>
  <c r="F56" i="11"/>
  <c r="N55" i="11"/>
  <c r="H55" i="11"/>
  <c r="G55" i="11"/>
  <c r="F55" i="11"/>
  <c r="H54" i="11"/>
  <c r="G54" i="11"/>
  <c r="F54" i="11"/>
  <c r="H53" i="11"/>
  <c r="G53" i="11"/>
  <c r="F53" i="11"/>
  <c r="F50" i="11"/>
  <c r="E50" i="11"/>
  <c r="H50" i="11" s="1"/>
  <c r="F49" i="11"/>
  <c r="H48" i="11"/>
  <c r="H69" i="11" s="1"/>
  <c r="G48" i="11"/>
  <c r="G69" i="11" s="1"/>
  <c r="F69" i="11"/>
  <c r="H47" i="11"/>
  <c r="G47" i="11"/>
  <c r="F47" i="11"/>
  <c r="H46" i="11"/>
  <c r="G46" i="11"/>
  <c r="N45" i="11"/>
  <c r="N52" i="11" s="1"/>
  <c r="H45" i="11"/>
  <c r="G45" i="11"/>
  <c r="F45" i="11"/>
  <c r="E45" i="11"/>
  <c r="E52" i="11" s="1"/>
  <c r="E44" i="11"/>
  <c r="H42" i="11"/>
  <c r="H28" i="11" s="1"/>
  <c r="H35" i="11" s="1"/>
  <c r="G42" i="11"/>
  <c r="G28" i="11" s="1"/>
  <c r="F42" i="11"/>
  <c r="H41" i="11"/>
  <c r="G41" i="11"/>
  <c r="F41" i="11"/>
  <c r="H40" i="11"/>
  <c r="G40" i="11"/>
  <c r="N39" i="11"/>
  <c r="N44" i="11" s="1"/>
  <c r="H39" i="11"/>
  <c r="G39" i="11"/>
  <c r="F39" i="11"/>
  <c r="E38" i="11"/>
  <c r="H36" i="11"/>
  <c r="H49" i="11" s="1"/>
  <c r="G36" i="11"/>
  <c r="G49" i="11" s="1"/>
  <c r="F36" i="11"/>
  <c r="N33" i="11"/>
  <c r="F33" i="11" s="1"/>
  <c r="H33" i="11"/>
  <c r="G33" i="11"/>
  <c r="H32" i="11"/>
  <c r="G32" i="11"/>
  <c r="F32" i="11"/>
  <c r="E31" i="11"/>
  <c r="H29" i="11"/>
  <c r="G29" i="11"/>
  <c r="F29" i="11"/>
  <c r="F35" i="11"/>
  <c r="H27" i="11"/>
  <c r="G27" i="11"/>
  <c r="F27" i="11"/>
  <c r="N26" i="11"/>
  <c r="F26" i="11" s="1"/>
  <c r="H26" i="11"/>
  <c r="G26" i="11"/>
  <c r="E25" i="11"/>
  <c r="N22" i="11"/>
  <c r="F22" i="11"/>
  <c r="F34" i="11" s="1"/>
  <c r="N21" i="11"/>
  <c r="N25" i="11" s="1"/>
  <c r="H21" i="11"/>
  <c r="G21" i="11"/>
  <c r="N20" i="11"/>
  <c r="E20" i="11"/>
  <c r="H18" i="11"/>
  <c r="G18" i="11"/>
  <c r="F18" i="11"/>
  <c r="H17" i="11"/>
  <c r="G17" i="11"/>
  <c r="F17" i="11"/>
  <c r="H16" i="11"/>
  <c r="G16" i="11"/>
  <c r="E15" i="11"/>
  <c r="H13" i="11"/>
  <c r="G13" i="11"/>
  <c r="F13" i="11"/>
  <c r="N12" i="11"/>
  <c r="H12" i="11"/>
  <c r="G12" i="11"/>
  <c r="F12" i="11"/>
  <c r="F40" i="11" s="1"/>
  <c r="H11" i="11"/>
  <c r="G11" i="11"/>
  <c r="F11" i="11"/>
  <c r="N9" i="11"/>
  <c r="F9" i="11" s="1"/>
  <c r="H9" i="11"/>
  <c r="H72" i="11" s="1"/>
  <c r="G9" i="11"/>
  <c r="G72" i="11" s="1"/>
  <c r="E8" i="11"/>
  <c r="H7" i="11"/>
  <c r="H19" i="11" s="1"/>
  <c r="G7" i="11"/>
  <c r="G14" i="11" s="1"/>
  <c r="H6" i="11"/>
  <c r="G6" i="11"/>
  <c r="F6" i="11"/>
  <c r="F60" i="11" s="1"/>
  <c r="N5" i="11"/>
  <c r="H5" i="11"/>
  <c r="H34" i="11" s="1"/>
  <c r="G5" i="11"/>
  <c r="G34" i="11" s="1"/>
  <c r="F5" i="11"/>
  <c r="N4" i="11"/>
  <c r="H4" i="11"/>
  <c r="H10" i="11" s="1"/>
  <c r="G4" i="11"/>
  <c r="G10" i="11" s="1"/>
  <c r="F4" i="11"/>
  <c r="F10" i="11" s="1"/>
  <c r="N3" i="11"/>
  <c r="N8" i="11" s="1"/>
  <c r="H3" i="11"/>
  <c r="G3" i="11"/>
  <c r="F3" i="11"/>
  <c r="F20" i="11" l="1"/>
  <c r="I79" i="11" s="1"/>
  <c r="G61" i="11"/>
  <c r="G62" i="11" s="1"/>
  <c r="G85" i="11" s="1"/>
  <c r="H61" i="11"/>
  <c r="F52" i="11"/>
  <c r="I84" i="11" s="1"/>
  <c r="F23" i="11"/>
  <c r="F31" i="11"/>
  <c r="I81" i="11" s="1"/>
  <c r="F8" i="11"/>
  <c r="I77" i="11" s="1"/>
  <c r="F44" i="11"/>
  <c r="I83" i="11" s="1"/>
  <c r="L89" i="11" s="1"/>
  <c r="G8" i="11"/>
  <c r="G77" i="11" s="1"/>
  <c r="G19" i="11"/>
  <c r="G20" i="11" s="1"/>
  <c r="G79" i="11" s="1"/>
  <c r="H20" i="11"/>
  <c r="H79" i="11" s="1"/>
  <c r="H8" i="11"/>
  <c r="H77" i="11" s="1"/>
  <c r="G15" i="11"/>
  <c r="G78" i="11" s="1"/>
  <c r="G44" i="11"/>
  <c r="G83" i="11" s="1"/>
  <c r="J89" i="11" s="1"/>
  <c r="G35" i="11"/>
  <c r="G23" i="11"/>
  <c r="F38" i="11"/>
  <c r="I82" i="11" s="1"/>
  <c r="F15" i="11"/>
  <c r="I78" i="11" s="1"/>
  <c r="F72" i="11"/>
  <c r="F74" i="11" s="1"/>
  <c r="I86" i="11" s="1"/>
  <c r="G22" i="11"/>
  <c r="N31" i="11"/>
  <c r="G74" i="11"/>
  <c r="G86" i="11" s="1"/>
  <c r="H22" i="11"/>
  <c r="G50" i="11"/>
  <c r="G30" i="11"/>
  <c r="G31" i="11" s="1"/>
  <c r="G81" i="11" s="1"/>
  <c r="F59" i="11"/>
  <c r="F62" i="11" s="1"/>
  <c r="I85" i="11" s="1"/>
  <c r="H14" i="11"/>
  <c r="H15" i="11" s="1"/>
  <c r="H78" i="11" s="1"/>
  <c r="N38" i="11"/>
  <c r="G37" i="11"/>
  <c r="N15" i="11"/>
  <c r="F21" i="11"/>
  <c r="H23" i="11"/>
  <c r="E17" i="10"/>
  <c r="E20" i="10"/>
  <c r="E16" i="10"/>
  <c r="E15" i="10"/>
  <c r="E21" i="10" l="1"/>
  <c r="E18" i="10"/>
  <c r="L90" i="11"/>
  <c r="L94" i="11"/>
  <c r="F25" i="11"/>
  <c r="I80" i="11" s="1"/>
  <c r="L93" i="11" s="1"/>
  <c r="H25" i="11"/>
  <c r="H80" i="11" s="1"/>
  <c r="G25" i="11"/>
  <c r="G80" i="11" s="1"/>
  <c r="J91" i="11" s="1"/>
  <c r="G52" i="11"/>
  <c r="G84" i="11" s="1"/>
  <c r="G38" i="11"/>
  <c r="G82" i="11" s="1"/>
  <c r="J92" i="11"/>
  <c r="J94" i="11"/>
  <c r="L96" i="11"/>
  <c r="L92" i="11"/>
  <c r="J96" i="11"/>
  <c r="H30" i="11"/>
  <c r="H31" i="11" s="1"/>
  <c r="H81" i="11" s="1"/>
  <c r="H62" i="11"/>
  <c r="H85" i="11" s="1"/>
  <c r="H52" i="11"/>
  <c r="H84" i="11" s="1"/>
  <c r="H37" i="11"/>
  <c r="H38" i="11" s="1"/>
  <c r="H82" i="11" s="1"/>
  <c r="H74" i="11"/>
  <c r="H86" i="11" s="1"/>
  <c r="H43" i="11"/>
  <c r="H44" i="11" s="1"/>
  <c r="H83" i="11" s="1"/>
  <c r="E9" i="10"/>
  <c r="E4" i="10"/>
  <c r="E5" i="10"/>
  <c r="F9" i="9"/>
  <c r="N9" i="9"/>
  <c r="F42" i="9"/>
  <c r="F50" i="9"/>
  <c r="E50" i="9"/>
  <c r="H50" i="9" s="1"/>
  <c r="H67" i="9"/>
  <c r="G67" i="9"/>
  <c r="F67" i="9"/>
  <c r="H42" i="9"/>
  <c r="H28" i="9" s="1"/>
  <c r="H23" i="9" s="1"/>
  <c r="G42" i="9"/>
  <c r="G28" i="9" s="1"/>
  <c r="G23" i="9" s="1"/>
  <c r="N4" i="9"/>
  <c r="F4" i="9" s="1"/>
  <c r="F10" i="9" s="1"/>
  <c r="E15" i="9"/>
  <c r="E73" i="9"/>
  <c r="H72" i="9"/>
  <c r="G72" i="9"/>
  <c r="N69" i="9"/>
  <c r="F69" i="9" s="1"/>
  <c r="H69" i="9"/>
  <c r="G69" i="9"/>
  <c r="N66" i="9"/>
  <c r="H66" i="9"/>
  <c r="G66" i="9"/>
  <c r="H65" i="9"/>
  <c r="G65" i="9"/>
  <c r="H64" i="9"/>
  <c r="G64" i="9"/>
  <c r="F64" i="9"/>
  <c r="H63" i="9"/>
  <c r="G63" i="9"/>
  <c r="F63" i="9"/>
  <c r="E62" i="9"/>
  <c r="H60" i="9"/>
  <c r="G60" i="9"/>
  <c r="N59" i="9"/>
  <c r="F59" i="9" s="1"/>
  <c r="H59" i="9"/>
  <c r="G59" i="9"/>
  <c r="H58" i="9"/>
  <c r="G58" i="9"/>
  <c r="H57" i="9"/>
  <c r="G57" i="9"/>
  <c r="F57" i="9"/>
  <c r="H56" i="9"/>
  <c r="G56" i="9"/>
  <c r="F56" i="9"/>
  <c r="N55" i="9"/>
  <c r="H55" i="9"/>
  <c r="G55" i="9"/>
  <c r="H54" i="9"/>
  <c r="G54" i="9"/>
  <c r="F54" i="9"/>
  <c r="H53" i="9"/>
  <c r="G53" i="9"/>
  <c r="F53" i="9"/>
  <c r="F49" i="9"/>
  <c r="H48" i="9"/>
  <c r="H68" i="9" s="1"/>
  <c r="G48" i="9"/>
  <c r="G68" i="9" s="1"/>
  <c r="F48" i="9"/>
  <c r="F68" i="9" s="1"/>
  <c r="H47" i="9"/>
  <c r="G47" i="9"/>
  <c r="F47" i="9"/>
  <c r="N46" i="9"/>
  <c r="F46" i="9" s="1"/>
  <c r="H46" i="9"/>
  <c r="G46" i="9"/>
  <c r="N45" i="9"/>
  <c r="F45" i="9" s="1"/>
  <c r="H45" i="9"/>
  <c r="G45" i="9"/>
  <c r="E45" i="9"/>
  <c r="E44" i="9"/>
  <c r="N41" i="9"/>
  <c r="F41" i="9" s="1"/>
  <c r="H41" i="9"/>
  <c r="G41" i="9"/>
  <c r="H40" i="9"/>
  <c r="G40" i="9"/>
  <c r="N39" i="9"/>
  <c r="F39" i="9" s="1"/>
  <c r="H39" i="9"/>
  <c r="G39" i="9"/>
  <c r="E38" i="9"/>
  <c r="H36" i="9"/>
  <c r="H49" i="9" s="1"/>
  <c r="G36" i="9"/>
  <c r="G49" i="9" s="1"/>
  <c r="F36" i="9"/>
  <c r="N33" i="9"/>
  <c r="F33" i="9" s="1"/>
  <c r="H33" i="9"/>
  <c r="G33" i="9"/>
  <c r="H32" i="9"/>
  <c r="G32" i="9"/>
  <c r="F32" i="9"/>
  <c r="E31" i="9"/>
  <c r="H29" i="9"/>
  <c r="G29" i="9"/>
  <c r="F29" i="9"/>
  <c r="F28" i="9"/>
  <c r="F35" i="9" s="1"/>
  <c r="H27" i="9"/>
  <c r="G27" i="9"/>
  <c r="F27" i="9"/>
  <c r="N26" i="9"/>
  <c r="N31" i="9" s="1"/>
  <c r="H26" i="9"/>
  <c r="G26" i="9"/>
  <c r="E25" i="9"/>
  <c r="N22" i="9"/>
  <c r="F22" i="9" s="1"/>
  <c r="N21" i="9"/>
  <c r="F21" i="9" s="1"/>
  <c r="H21" i="9"/>
  <c r="G21" i="9"/>
  <c r="N20" i="9"/>
  <c r="E20" i="9"/>
  <c r="H18" i="9"/>
  <c r="G18" i="9"/>
  <c r="F18" i="9"/>
  <c r="H17" i="9"/>
  <c r="G17" i="9"/>
  <c r="F17" i="9"/>
  <c r="H16" i="9"/>
  <c r="G16" i="9"/>
  <c r="H13" i="9"/>
  <c r="G13" i="9"/>
  <c r="F13" i="9"/>
  <c r="N12" i="9"/>
  <c r="F12" i="9" s="1"/>
  <c r="F40" i="9" s="1"/>
  <c r="H12" i="9"/>
  <c r="G12" i="9"/>
  <c r="H11" i="9"/>
  <c r="G11" i="9"/>
  <c r="F11" i="9"/>
  <c r="H9" i="9"/>
  <c r="H71" i="9" s="1"/>
  <c r="G9" i="9"/>
  <c r="G71" i="9" s="1"/>
  <c r="E8" i="9"/>
  <c r="H7" i="9"/>
  <c r="H14" i="9" s="1"/>
  <c r="G7" i="9"/>
  <c r="G24" i="9" s="1"/>
  <c r="H6" i="9"/>
  <c r="G6" i="9"/>
  <c r="F6" i="9"/>
  <c r="F60" i="9" s="1"/>
  <c r="N5" i="9"/>
  <c r="F5" i="9" s="1"/>
  <c r="H5" i="9"/>
  <c r="H34" i="9" s="1"/>
  <c r="G5" i="9"/>
  <c r="G34" i="9" s="1"/>
  <c r="H4" i="9"/>
  <c r="H10" i="9" s="1"/>
  <c r="G4" i="9"/>
  <c r="G10" i="9" s="1"/>
  <c r="N3" i="9"/>
  <c r="F3" i="9" s="1"/>
  <c r="H3" i="9"/>
  <c r="G3" i="9"/>
  <c r="E7" i="10" l="1"/>
  <c r="J93" i="11"/>
  <c r="L91" i="11"/>
  <c r="K93" i="11"/>
  <c r="K91" i="11"/>
  <c r="K90" i="11"/>
  <c r="J90" i="11"/>
  <c r="K92" i="11"/>
  <c r="K94" i="11"/>
  <c r="K89" i="11"/>
  <c r="K96" i="11"/>
  <c r="G50" i="9"/>
  <c r="F20" i="9"/>
  <c r="I78" i="9" s="1"/>
  <c r="E52" i="9"/>
  <c r="N73" i="9"/>
  <c r="N62" i="9"/>
  <c r="F66" i="9"/>
  <c r="N44" i="9"/>
  <c r="F55" i="9"/>
  <c r="F62" i="9" s="1"/>
  <c r="I84" i="9" s="1"/>
  <c r="G22" i="9"/>
  <c r="F15" i="9"/>
  <c r="I77" i="9" s="1"/>
  <c r="N52" i="9"/>
  <c r="F71" i="9"/>
  <c r="F52" i="9"/>
  <c r="I83" i="9" s="1"/>
  <c r="N8" i="9"/>
  <c r="H22" i="9"/>
  <c r="F23" i="9"/>
  <c r="F25" i="9" s="1"/>
  <c r="I79" i="9" s="1"/>
  <c r="H8" i="9"/>
  <c r="H76" i="9" s="1"/>
  <c r="H35" i="9"/>
  <c r="F8" i="9"/>
  <c r="I76" i="9" s="1"/>
  <c r="H15" i="9"/>
  <c r="H77" i="9" s="1"/>
  <c r="G8" i="9"/>
  <c r="G76" i="9" s="1"/>
  <c r="H24" i="9"/>
  <c r="H61" i="9" s="1"/>
  <c r="H62" i="9" s="1"/>
  <c r="H84" i="9" s="1"/>
  <c r="G25" i="9"/>
  <c r="G79" i="9" s="1"/>
  <c r="G43" i="9"/>
  <c r="G37" i="9"/>
  <c r="G70" i="9"/>
  <c r="G73" i="9" s="1"/>
  <c r="G85" i="9" s="1"/>
  <c r="G61" i="9"/>
  <c r="G62" i="9" s="1"/>
  <c r="G84" i="9" s="1"/>
  <c r="G51" i="9"/>
  <c r="G52" i="9" s="1"/>
  <c r="G83" i="9" s="1"/>
  <c r="G30" i="9"/>
  <c r="F34" i="9"/>
  <c r="F38" i="9" s="1"/>
  <c r="I81" i="9" s="1"/>
  <c r="N38" i="9"/>
  <c r="G19" i="9"/>
  <c r="G20" i="9" s="1"/>
  <c r="G78" i="9" s="1"/>
  <c r="F44" i="9"/>
  <c r="I82" i="9" s="1"/>
  <c r="L88" i="9" s="1"/>
  <c r="G14" i="9"/>
  <c r="G15" i="9" s="1"/>
  <c r="G77" i="9" s="1"/>
  <c r="H19" i="9"/>
  <c r="H20" i="9" s="1"/>
  <c r="H78" i="9" s="1"/>
  <c r="N25" i="9"/>
  <c r="N15" i="9"/>
  <c r="F26" i="9"/>
  <c r="F31" i="9" s="1"/>
  <c r="I80" i="9" s="1"/>
  <c r="G35" i="9"/>
  <c r="L89" i="9" l="1"/>
  <c r="J90" i="9"/>
  <c r="L90" i="9"/>
  <c r="J92" i="9"/>
  <c r="L93" i="9"/>
  <c r="L92" i="9"/>
  <c r="F73" i="9"/>
  <c r="I85" i="9" s="1"/>
  <c r="L91" i="9" s="1"/>
  <c r="G38" i="9"/>
  <c r="G81" i="9" s="1"/>
  <c r="J89" i="9" s="1"/>
  <c r="H37" i="9"/>
  <c r="H38" i="9" s="1"/>
  <c r="H81" i="9" s="1"/>
  <c r="H51" i="9"/>
  <c r="H52" i="9" s="1"/>
  <c r="H83" i="9" s="1"/>
  <c r="H30" i="9"/>
  <c r="H31" i="9" s="1"/>
  <c r="H80" i="9" s="1"/>
  <c r="G44" i="9"/>
  <c r="G82" i="9" s="1"/>
  <c r="J88" i="9" s="1"/>
  <c r="H70" i="9"/>
  <c r="H73" i="9" s="1"/>
  <c r="H85" i="9" s="1"/>
  <c r="H25" i="9"/>
  <c r="H79" i="9" s="1"/>
  <c r="K90" i="9" s="1"/>
  <c r="H43" i="9"/>
  <c r="H44" i="9" s="1"/>
  <c r="H82" i="9" s="1"/>
  <c r="K88" i="9" s="1"/>
  <c r="G31" i="9"/>
  <c r="G80" i="9" s="1"/>
  <c r="J91" i="9" s="1"/>
  <c r="F21" i="6"/>
  <c r="N21" i="6"/>
  <c r="F47" i="6"/>
  <c r="H11" i="6"/>
  <c r="G11" i="6"/>
  <c r="G70" i="6"/>
  <c r="H70" i="6"/>
  <c r="H62" i="6"/>
  <c r="H63" i="6"/>
  <c r="H64" i="6"/>
  <c r="H66" i="6"/>
  <c r="H67" i="6"/>
  <c r="G62" i="6"/>
  <c r="G63" i="6"/>
  <c r="G64" i="6"/>
  <c r="G66" i="6"/>
  <c r="G67" i="6"/>
  <c r="H61" i="6"/>
  <c r="G61" i="6"/>
  <c r="H53" i="6"/>
  <c r="G53" i="6"/>
  <c r="G45" i="6"/>
  <c r="G46" i="6"/>
  <c r="H45" i="6"/>
  <c r="H46" i="6"/>
  <c r="H44" i="6"/>
  <c r="G44" i="6"/>
  <c r="H48" i="6"/>
  <c r="G48" i="6"/>
  <c r="H52" i="6"/>
  <c r="H54" i="6"/>
  <c r="H55" i="6"/>
  <c r="H56" i="6"/>
  <c r="H57" i="6"/>
  <c r="H58" i="6"/>
  <c r="G52" i="6"/>
  <c r="G54" i="6"/>
  <c r="G55" i="6"/>
  <c r="G56" i="6"/>
  <c r="G57" i="6"/>
  <c r="G58" i="6"/>
  <c r="H51" i="6"/>
  <c r="G51" i="6"/>
  <c r="H43" i="6"/>
  <c r="G43" i="6"/>
  <c r="H47" i="6"/>
  <c r="H34" i="6"/>
  <c r="G34" i="6"/>
  <c r="G47" i="6" s="1"/>
  <c r="H38" i="6"/>
  <c r="H39" i="6"/>
  <c r="G38" i="6"/>
  <c r="G39" i="6"/>
  <c r="H37" i="6"/>
  <c r="G37" i="6"/>
  <c r="G31" i="6"/>
  <c r="H31" i="6"/>
  <c r="H30" i="6"/>
  <c r="G30" i="6"/>
  <c r="H25" i="6"/>
  <c r="H27" i="6"/>
  <c r="G25" i="6"/>
  <c r="G27" i="6"/>
  <c r="H24" i="6"/>
  <c r="G24" i="6"/>
  <c r="H21" i="6"/>
  <c r="H40" i="6" s="1"/>
  <c r="G21" i="6"/>
  <c r="G40" i="6" s="1"/>
  <c r="H19" i="6"/>
  <c r="G19" i="6"/>
  <c r="H15" i="6"/>
  <c r="H16" i="6"/>
  <c r="G15" i="6"/>
  <c r="G16" i="6"/>
  <c r="H8" i="6"/>
  <c r="G8" i="6"/>
  <c r="H14" i="6"/>
  <c r="G14" i="6"/>
  <c r="G69" i="6" s="1"/>
  <c r="G12" i="6"/>
  <c r="H5" i="6"/>
  <c r="H6" i="6"/>
  <c r="H22" i="6" s="1"/>
  <c r="G5" i="6"/>
  <c r="G6" i="6"/>
  <c r="G22" i="6" s="1"/>
  <c r="H10" i="6"/>
  <c r="G10" i="6"/>
  <c r="H4" i="6"/>
  <c r="H20" i="6" s="1"/>
  <c r="G4" i="6"/>
  <c r="G20" i="6" s="1"/>
  <c r="H3" i="6"/>
  <c r="G3" i="6"/>
  <c r="H9" i="6"/>
  <c r="G9" i="6"/>
  <c r="H2" i="6"/>
  <c r="G2" i="6"/>
  <c r="L95" i="9" l="1"/>
  <c r="K91" i="9"/>
  <c r="K95" i="9"/>
  <c r="K89" i="9"/>
  <c r="K92" i="9"/>
  <c r="K93" i="9"/>
  <c r="J95" i="9"/>
  <c r="J93" i="9"/>
  <c r="H59" i="6"/>
  <c r="H35" i="6"/>
  <c r="H68" i="6"/>
  <c r="H41" i="6"/>
  <c r="H12" i="6"/>
  <c r="H18" i="6"/>
  <c r="G7" i="6"/>
  <c r="G17" i="6"/>
  <c r="G18" i="6" s="1"/>
  <c r="H7" i="6"/>
  <c r="H17" i="6"/>
  <c r="H42" i="6"/>
  <c r="G26" i="6"/>
  <c r="G33" i="6" s="1"/>
  <c r="H26" i="6"/>
  <c r="H33" i="6" s="1"/>
  <c r="G65" i="6"/>
  <c r="H65" i="6"/>
  <c r="G68" i="6"/>
  <c r="G35" i="6"/>
  <c r="G59" i="6"/>
  <c r="G60" i="6" s="1"/>
  <c r="G28" i="6"/>
  <c r="G29" i="6" s="1"/>
  <c r="G49" i="6"/>
  <c r="G50" i="6" s="1"/>
  <c r="G41" i="6"/>
  <c r="G42" i="6" s="1"/>
  <c r="G32" i="6"/>
  <c r="H32" i="6"/>
  <c r="H36" i="6" s="1"/>
  <c r="G13" i="6"/>
  <c r="H69" i="6"/>
  <c r="H13" i="6"/>
  <c r="H49" i="6"/>
  <c r="H50" i="6" s="1"/>
  <c r="H28" i="6"/>
  <c r="H29" i="6" s="1"/>
  <c r="H71" i="6"/>
  <c r="G71" i="6"/>
  <c r="H60" i="6"/>
  <c r="H23" i="6"/>
  <c r="G23" i="6"/>
  <c r="G36" i="6" l="1"/>
  <c r="E19" i="7"/>
  <c r="N71" i="6" l="1"/>
  <c r="N60" i="6"/>
  <c r="N50" i="6"/>
  <c r="F66" i="6"/>
  <c r="N66" i="6"/>
  <c r="F62" i="6"/>
  <c r="F61" i="6"/>
  <c r="F54" i="6"/>
  <c r="F53" i="6"/>
  <c r="N53" i="6"/>
  <c r="F52" i="6"/>
  <c r="F51" i="6"/>
  <c r="F48" i="6"/>
  <c r="F46" i="6"/>
  <c r="F55" i="6"/>
  <c r="F45" i="6"/>
  <c r="F44" i="6"/>
  <c r="N44" i="6"/>
  <c r="N57" i="6"/>
  <c r="F57" i="6"/>
  <c r="F64" i="6"/>
  <c r="N64" i="6"/>
  <c r="F43" i="6" l="1"/>
  <c r="N43" i="6"/>
  <c r="F9" i="6" l="1"/>
  <c r="F39" i="6"/>
  <c r="N42" i="6"/>
  <c r="N39" i="6"/>
  <c r="F4" i="8" l="1"/>
  <c r="F5" i="8"/>
  <c r="F6" i="8"/>
  <c r="F7" i="8"/>
  <c r="F3" i="8"/>
  <c r="F8" i="8" l="1"/>
  <c r="F10" i="6"/>
  <c r="F38" i="6" s="1"/>
  <c r="N10" i="6"/>
  <c r="N13" i="6" s="1"/>
  <c r="N36" i="6"/>
  <c r="F34" i="6"/>
  <c r="F30" i="6"/>
  <c r="F26" i="6"/>
  <c r="F33" i="6" s="1"/>
  <c r="F25" i="6"/>
  <c r="N23" i="6"/>
  <c r="N18" i="6"/>
  <c r="F15" i="6"/>
  <c r="F11" i="6"/>
  <c r="N2" i="6"/>
  <c r="N7" i="6" s="1"/>
  <c r="F8" i="6"/>
  <c r="N4" i="6"/>
  <c r="F4" i="6" s="1"/>
  <c r="F3" i="6"/>
  <c r="F5" i="6"/>
  <c r="F58" i="6" s="1"/>
  <c r="N20" i="6"/>
  <c r="F20" i="6" s="1"/>
  <c r="F32" i="6" s="1"/>
  <c r="F27" i="6"/>
  <c r="N24" i="6"/>
  <c r="F24" i="6" s="1"/>
  <c r="F67" i="6"/>
  <c r="N37" i="6"/>
  <c r="F37" i="6" s="1"/>
  <c r="N31" i="6"/>
  <c r="F31" i="6" s="1"/>
  <c r="L23" i="3"/>
  <c r="F16" i="6"/>
  <c r="N19" i="6"/>
  <c r="F19" i="6" s="1"/>
  <c r="F65" i="6" l="1"/>
  <c r="F40" i="6"/>
  <c r="N29" i="6"/>
  <c r="F2" i="6"/>
  <c r="I15" i="7" l="1"/>
  <c r="E15" i="7" s="1"/>
  <c r="I14" i="7"/>
  <c r="E14" i="7" s="1"/>
  <c r="I13" i="7"/>
  <c r="E13" i="7" s="1"/>
  <c r="I12" i="7"/>
  <c r="I11" i="7"/>
  <c r="E11" i="7" s="1"/>
  <c r="E10" i="7"/>
  <c r="I9" i="7"/>
  <c r="E9" i="7" s="1"/>
  <c r="I8" i="7"/>
  <c r="E8" i="7" s="1"/>
  <c r="I7" i="7"/>
  <c r="E7" i="7" s="1"/>
  <c r="I6" i="7"/>
  <c r="E6" i="7" s="1"/>
  <c r="E5" i="7"/>
  <c r="I17" i="7" l="1"/>
  <c r="E12" i="7"/>
  <c r="E17" i="7" s="1"/>
  <c r="F71" i="6" l="1"/>
  <c r="E71" i="6"/>
  <c r="F60" i="6"/>
  <c r="E60" i="6"/>
  <c r="E43" i="6"/>
  <c r="E50" i="6" s="1"/>
  <c r="F50" i="6"/>
  <c r="F42" i="6"/>
  <c r="E42" i="6"/>
  <c r="F36" i="6"/>
  <c r="E36" i="6"/>
  <c r="F29" i="6"/>
  <c r="E29" i="6"/>
  <c r="F23" i="6"/>
  <c r="E23" i="6"/>
  <c r="F18" i="6"/>
  <c r="E18" i="6"/>
  <c r="F13" i="6"/>
  <c r="E13" i="6"/>
  <c r="F7" i="6" l="1"/>
  <c r="E7" i="6"/>
</calcChain>
</file>

<file path=xl/sharedStrings.xml><?xml version="1.0" encoding="utf-8"?>
<sst xmlns="http://schemas.openxmlformats.org/spreadsheetml/2006/main" count="3186" uniqueCount="1041">
  <si>
    <t>行动食品</t>
    <phoneticPr fontId="1" type="noConversion"/>
  </si>
  <si>
    <t>水果糖</t>
    <phoneticPr fontId="1" type="noConversion"/>
  </si>
  <si>
    <t>话梅糖</t>
    <phoneticPr fontId="1" type="noConversion"/>
  </si>
  <si>
    <t>陈皮糖</t>
    <phoneticPr fontId="1" type="noConversion"/>
  </si>
  <si>
    <t>八宝果糖</t>
    <phoneticPr fontId="1" type="noConversion"/>
  </si>
  <si>
    <t>巧克力</t>
    <phoneticPr fontId="1" type="noConversion"/>
  </si>
  <si>
    <t>麦片巧克力</t>
    <phoneticPr fontId="1" type="noConversion"/>
  </si>
  <si>
    <t>MM豆</t>
    <phoneticPr fontId="1" type="noConversion"/>
  </si>
  <si>
    <t>士力架</t>
    <phoneticPr fontId="1" type="noConversion"/>
  </si>
  <si>
    <t>果干</t>
    <phoneticPr fontId="1" type="noConversion"/>
  </si>
  <si>
    <t>芒果干</t>
    <phoneticPr fontId="1" type="noConversion"/>
  </si>
  <si>
    <t>蔓越莓干</t>
    <phoneticPr fontId="1" type="noConversion"/>
  </si>
  <si>
    <t>黄桃干</t>
    <phoneticPr fontId="1" type="noConversion"/>
  </si>
  <si>
    <t>香蕉片</t>
    <phoneticPr fontId="1" type="noConversion"/>
  </si>
  <si>
    <t>......</t>
    <phoneticPr fontId="1" type="noConversion"/>
  </si>
  <si>
    <t>坚果</t>
    <phoneticPr fontId="1" type="noConversion"/>
  </si>
  <si>
    <t>花生</t>
    <phoneticPr fontId="1" type="noConversion"/>
  </si>
  <si>
    <t>…</t>
    <phoneticPr fontId="1" type="noConversion"/>
  </si>
  <si>
    <t>类主食（甜）</t>
    <phoneticPr fontId="1" type="noConversion"/>
  </si>
  <si>
    <t>鸡蛋煎饼</t>
    <phoneticPr fontId="1" type="noConversion"/>
  </si>
  <si>
    <t>沙琪玛</t>
    <phoneticPr fontId="1" type="noConversion"/>
  </si>
  <si>
    <t>铜锣烧</t>
    <phoneticPr fontId="1" type="noConversion"/>
  </si>
  <si>
    <t>红薯干</t>
    <phoneticPr fontId="1" type="noConversion"/>
  </si>
  <si>
    <t>类主食（咸）</t>
    <phoneticPr fontId="1" type="noConversion"/>
  </si>
  <si>
    <t>肉</t>
    <phoneticPr fontId="1" type="noConversion"/>
  </si>
  <si>
    <t>电解质饮料</t>
    <phoneticPr fontId="1" type="noConversion"/>
  </si>
  <si>
    <t>宝矿力水特粉末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</si>
  <si>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</si>
  <si>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</si>
  <si>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</si>
  <si>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汤水（甜）</t>
    <phoneticPr fontId="1" type="noConversion"/>
  </si>
  <si>
    <t>椰奶</t>
    <phoneticPr fontId="1" type="noConversion"/>
  </si>
  <si>
    <t>藕粉</t>
    <phoneticPr fontId="1" type="noConversion"/>
  </si>
  <si>
    <t>芝麻糊</t>
    <phoneticPr fontId="1" type="noConversion"/>
  </si>
  <si>
    <t>冻干甜粥</t>
    <phoneticPr fontId="1" type="noConversion"/>
  </si>
  <si>
    <t>汤水（咸）</t>
    <phoneticPr fontId="1" type="noConversion"/>
  </si>
  <si>
    <t>冻干咸粥</t>
    <phoneticPr fontId="1" type="noConversion"/>
  </si>
  <si>
    <t>咸奶茶</t>
    <phoneticPr fontId="1" type="noConversion"/>
  </si>
  <si>
    <t>豆奶粉</t>
    <phoneticPr fontId="1" type="noConversion"/>
  </si>
  <si>
    <t>五谷杂粮粉</t>
    <phoneticPr fontId="1" type="noConversion"/>
  </si>
  <si>
    <t>麦片</t>
    <phoneticPr fontId="1" type="noConversion"/>
  </si>
  <si>
    <t>肉松饼</t>
    <phoneticPr fontId="1" type="noConversion"/>
  </si>
  <si>
    <t>炒米</t>
    <phoneticPr fontId="1" type="noConversion"/>
  </si>
  <si>
    <t>馍片</t>
    <phoneticPr fontId="1" type="noConversion"/>
  </si>
  <si>
    <t>土豆泥</t>
    <phoneticPr fontId="1" type="noConversion"/>
  </si>
  <si>
    <t>速食米饭</t>
    <phoneticPr fontId="1" type="noConversion"/>
  </si>
  <si>
    <t>肉蛋</t>
    <phoneticPr fontId="1" type="noConversion"/>
  </si>
  <si>
    <t>牛肉干</t>
    <phoneticPr fontId="1" type="noConversion"/>
  </si>
  <si>
    <t>猪肉脯</t>
    <phoneticPr fontId="1" type="noConversion"/>
  </si>
  <si>
    <t>配菜小食</t>
    <phoneticPr fontId="1" type="noConversion"/>
  </si>
  <si>
    <t>榨菜</t>
    <phoneticPr fontId="1" type="noConversion"/>
  </si>
  <si>
    <t>金针菇</t>
    <phoneticPr fontId="1" type="noConversion"/>
  </si>
  <si>
    <t>豆干</t>
    <phoneticPr fontId="1" type="noConversion"/>
  </si>
  <si>
    <t>蜜豆</t>
    <phoneticPr fontId="1" type="noConversion"/>
  </si>
  <si>
    <t>调料</t>
    <phoneticPr fontId="1" type="noConversion"/>
  </si>
  <si>
    <t>海苔碎</t>
    <phoneticPr fontId="1" type="noConversion"/>
  </si>
  <si>
    <t>香菇酱</t>
    <phoneticPr fontId="1" type="noConversion"/>
  </si>
  <si>
    <t>黑椒汁</t>
    <phoneticPr fontId="1" type="noConversion"/>
  </si>
  <si>
    <t>熟面条</t>
    <phoneticPr fontId="1" type="noConversion"/>
  </si>
  <si>
    <t>米粉</t>
    <phoneticPr fontId="1" type="noConversion"/>
  </si>
  <si>
    <t>蛋花汤/蔬菜汤</t>
    <phoneticPr fontId="1" type="noConversion"/>
  </si>
  <si>
    <t>干贝</t>
    <phoneticPr fontId="1" type="noConversion"/>
  </si>
  <si>
    <t>豆皮</t>
    <phoneticPr fontId="1" type="noConversion"/>
  </si>
  <si>
    <t>龙须面</t>
    <phoneticPr fontId="1" type="noConversion"/>
  </si>
  <si>
    <t>方便面</t>
    <phoneticPr fontId="1" type="noConversion"/>
  </si>
  <si>
    <t>其他</t>
    <phoneticPr fontId="1" type="noConversion"/>
  </si>
  <si>
    <t>小鸡腿</t>
    <phoneticPr fontId="1" type="noConversion"/>
  </si>
  <si>
    <t>糖</t>
    <phoneticPr fontId="1" type="noConversion"/>
  </si>
  <si>
    <t>类别</t>
    <phoneticPr fontId="1" type="noConversion"/>
  </si>
  <si>
    <t>名称</t>
    <phoneticPr fontId="1" type="noConversion"/>
  </si>
  <si>
    <t>说明</t>
    <phoneticPr fontId="1" type="noConversion"/>
  </si>
  <si>
    <t>正餐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</si>
  <si>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</si>
  <si>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</si>
  <si>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</si>
  <si>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综合糖</t>
    <phoneticPr fontId="1" type="noConversion"/>
  </si>
  <si>
    <t>花生酥</t>
    <phoneticPr fontId="1" type="noConversion"/>
  </si>
  <si>
    <t>芝麻酥</t>
    <phoneticPr fontId="1" type="noConversion"/>
  </si>
  <si>
    <t>南瓜子酥</t>
    <phoneticPr fontId="1" type="noConversion"/>
  </si>
  <si>
    <t>每日坚果酥</t>
    <phoneticPr fontId="1" type="noConversion"/>
  </si>
  <si>
    <t>坚果黑芝麻红枣枸杞</t>
    <phoneticPr fontId="1" type="noConversion"/>
  </si>
  <si>
    <t>腰果</t>
    <phoneticPr fontId="1" type="noConversion"/>
  </si>
  <si>
    <t>核桃</t>
    <phoneticPr fontId="1" type="noConversion"/>
  </si>
  <si>
    <t>巴旦木</t>
    <phoneticPr fontId="1" type="noConversion"/>
  </si>
  <si>
    <t>综合坚果</t>
    <phoneticPr fontId="1" type="noConversion"/>
  </si>
  <si>
    <t>红糖姜茶</t>
    <phoneticPr fontId="1" type="noConversion"/>
  </si>
  <si>
    <t>果珍冲剂</t>
    <phoneticPr fontId="1" type="noConversion"/>
  </si>
  <si>
    <t>椒盐小麻花</t>
    <phoneticPr fontId="1" type="noConversion"/>
  </si>
  <si>
    <t>手撕面包</t>
    <phoneticPr fontId="1" type="noConversion"/>
  </si>
  <si>
    <t>蒸蛋糕</t>
    <phoneticPr fontId="1" type="noConversion"/>
  </si>
  <si>
    <t>枣泥蛋糕</t>
    <phoneticPr fontId="1" type="noConversion"/>
  </si>
  <si>
    <t>华夫饼</t>
    <phoneticPr fontId="1" type="noConversion"/>
  </si>
  <si>
    <t>瑞士卷</t>
    <phoneticPr fontId="1" type="noConversion"/>
  </si>
  <si>
    <t>妙芙</t>
    <phoneticPr fontId="1" type="noConversion"/>
  </si>
  <si>
    <t>利拉饼干</t>
    <phoneticPr fontId="1" type="noConversion"/>
  </si>
  <si>
    <t>好吃点香脆饼</t>
    <phoneticPr fontId="1" type="noConversion"/>
  </si>
  <si>
    <t>天日盐味小圆饼</t>
    <phoneticPr fontId="1" type="noConversion"/>
  </si>
  <si>
    <t>脱水青菜</t>
    <phoneticPr fontId="1" type="noConversion"/>
  </si>
  <si>
    <t>三牛饼干</t>
    <phoneticPr fontId="1" type="noConversion"/>
  </si>
  <si>
    <t>猪肉脯</t>
    <phoneticPr fontId="1" type="noConversion"/>
  </si>
  <si>
    <t>疑问系列</t>
    <phoneticPr fontId="1" type="noConversion"/>
  </si>
  <si>
    <t>携带&amp;分装</t>
    <phoneticPr fontId="1" type="noConversion"/>
  </si>
  <si>
    <t>食用方式</t>
    <phoneticPr fontId="1" type="noConversion"/>
  </si>
  <si>
    <t>没有小包装是怎么按人分配的呢？比如行动食品的果干、晚饭的海苔碎之类的，用密实袋按人分配或者按帐篷分装？</t>
    <phoneticPr fontId="1" type="noConversion"/>
  </si>
  <si>
    <t>行动食品是怎么分配给个人的呢？每个人走的时候就要背八、九袋自己的行动食品？</t>
    <phoneticPr fontId="1" type="noConversion"/>
  </si>
  <si>
    <t>全程（去程/返程/途中）需要的火车食品和汽车食品也都背着？</t>
    <phoneticPr fontId="1" type="noConversion"/>
  </si>
  <si>
    <t>免蒸米饭是怎么操作的？需要多久大家才能吃上饭呢？</t>
    <phoneticPr fontId="1" type="noConversion"/>
  </si>
  <si>
    <t>干贝、脱水青菜、豆皮之类的泡发食物，咋泡发的？用什么泡发？剩下的水怎么整？岂不是很久都吃不上饭……</t>
    <phoneticPr fontId="1" type="noConversion"/>
  </si>
  <si>
    <t>大饼/馕，真空…包装？当地买？能买什么？能在什么时候买？</t>
    <phoneticPr fontId="1" type="noConversion"/>
  </si>
  <si>
    <t>中午是不是不可能有冲泡动作？也不开锅灶？</t>
    <phoneticPr fontId="1" type="noConversion"/>
  </si>
  <si>
    <t>食品是否需要开具发票？</t>
    <phoneticPr fontId="1" type="noConversion"/>
  </si>
  <si>
    <t>冻干甜粥、冻干咸粥、米粉、河粉、熟面条，都没有尝试（的机会），需不需要买回来点，抽空楼顶试验一下？</t>
    <phoneticPr fontId="1" type="noConversion"/>
  </si>
  <si>
    <t>玉米片/谷物圈</t>
    <phoneticPr fontId="1" type="noConversion"/>
  </si>
  <si>
    <t>学校</t>
    <phoneticPr fontId="1" type="noConversion"/>
  </si>
  <si>
    <t>火车午餐</t>
    <phoneticPr fontId="1" type="noConversion"/>
  </si>
  <si>
    <t>火车晚餐</t>
    <phoneticPr fontId="1" type="noConversion"/>
  </si>
  <si>
    <t>火车早餐</t>
    <phoneticPr fontId="1" type="noConversion"/>
  </si>
  <si>
    <t>备注</t>
    <phoneticPr fontId="1" type="noConversion"/>
  </si>
  <si>
    <t>前站
4人</t>
    <phoneticPr fontId="1" type="noConversion"/>
  </si>
  <si>
    <t>和大部队汇合</t>
    <phoneticPr fontId="1" type="noConversion"/>
  </si>
  <si>
    <t>大部队
12人</t>
    <phoneticPr fontId="1" type="noConversion"/>
  </si>
  <si>
    <t>徒步午餐</t>
    <phoneticPr fontId="1" type="noConversion"/>
  </si>
  <si>
    <t>徒步晚餐</t>
    <phoneticPr fontId="1" type="noConversion"/>
  </si>
  <si>
    <t>徒步早餐</t>
    <phoneticPr fontId="1" type="noConversion"/>
  </si>
  <si>
    <t>大部队
16人</t>
    <phoneticPr fontId="1" type="noConversion"/>
  </si>
  <si>
    <t>人数情况</t>
    <phoneticPr fontId="1" type="noConversion"/>
  </si>
  <si>
    <t>日期</t>
    <phoneticPr fontId="1" type="noConversion"/>
  </si>
  <si>
    <t>送站会送多少食品呢？去程的火车食品是不是可以少准备点？（而且在火车上消耗也不大？）
整个行程中会有在汽车上吃饭的情形吗，特别是早餐/晚餐？
返程的火车食品是不是在成都买就行？这还有餐标控制吗？</t>
    <phoneticPr fontId="1" type="noConversion"/>
  </si>
  <si>
    <t>反穿路线计划A餐食安排</t>
    <phoneticPr fontId="1" type="noConversion"/>
  </si>
  <si>
    <t>单份含量</t>
    <phoneticPr fontId="1" type="noConversion"/>
  </si>
  <si>
    <t>100g</t>
    <phoneticPr fontId="1" type="noConversion"/>
  </si>
  <si>
    <t>30g</t>
    <phoneticPr fontId="1" type="noConversion"/>
  </si>
  <si>
    <t>单价</t>
    <phoneticPr fontId="1" type="noConversion"/>
  </si>
  <si>
    <t>淘宝店铺</t>
    <phoneticPr fontId="1" type="noConversion"/>
  </si>
  <si>
    <t>优麦食品</t>
    <phoneticPr fontId="1" type="noConversion"/>
  </si>
  <si>
    <t>单价</t>
    <phoneticPr fontId="1" type="noConversion"/>
  </si>
  <si>
    <t>淘宝店铺</t>
    <phoneticPr fontId="1" type="noConversion"/>
  </si>
  <si>
    <t>约12.5g</t>
  </si>
  <si>
    <t>约12.5g</t>
    <phoneticPr fontId="1" type="noConversion"/>
  </si>
  <si>
    <t>蟹黄/牛肉/原香瓜子</t>
    <phoneticPr fontId="1" type="noConversion"/>
  </si>
  <si>
    <t>蒜香青豆</t>
    <phoneticPr fontId="1" type="noConversion"/>
  </si>
  <si>
    <t>0.4~0.45</t>
  </si>
  <si>
    <t>0.4~0.45</t>
    <phoneticPr fontId="1" type="noConversion"/>
  </si>
  <si>
    <t>0.37~0.45</t>
    <phoneticPr fontId="1" type="noConversion"/>
  </si>
  <si>
    <t>蟹黄/五香蚕豆</t>
    <phoneticPr fontId="1" type="noConversion"/>
  </si>
  <si>
    <t>1.1左右</t>
    <phoneticPr fontId="1" type="noConversion"/>
  </si>
  <si>
    <t>原味豆浆粉</t>
    <phoneticPr fontId="1" type="noConversion"/>
  </si>
  <si>
    <t>约16g</t>
    <phoneticPr fontId="1" type="noConversion"/>
  </si>
  <si>
    <t>果鲜生</t>
    <phoneticPr fontId="1" type="noConversion"/>
  </si>
  <si>
    <t>500g 17.8</t>
    <phoneticPr fontId="1" type="noConversion"/>
  </si>
  <si>
    <t>500g 13包约14.8</t>
    <phoneticPr fontId="1" type="noConversion"/>
  </si>
  <si>
    <t>38g</t>
    <phoneticPr fontId="1" type="noConversion"/>
  </si>
  <si>
    <t>1.14左右</t>
    <phoneticPr fontId="1" type="noConversion"/>
  </si>
  <si>
    <t>50g</t>
    <phoneticPr fontId="1" type="noConversion"/>
  </si>
  <si>
    <t>蛋黄煎饼</t>
    <phoneticPr fontId="1" type="noConversion"/>
  </si>
  <si>
    <t>450g 30包 21.8</t>
    <phoneticPr fontId="1" type="noConversion"/>
  </si>
  <si>
    <t>15g</t>
    <phoneticPr fontId="1" type="noConversion"/>
  </si>
  <si>
    <t>0.73左右</t>
    <phoneticPr fontId="1" type="noConversion"/>
  </si>
  <si>
    <t>玉米火腿</t>
    <phoneticPr fontId="1" type="noConversion"/>
  </si>
  <si>
    <t>山楂条</t>
    <phoneticPr fontId="1" type="noConversion"/>
  </si>
  <si>
    <t>彩色葡萄干</t>
    <phoneticPr fontId="1" type="noConversion"/>
  </si>
  <si>
    <t>桑葚干</t>
    <phoneticPr fontId="1" type="noConversion"/>
  </si>
  <si>
    <t>500g22.8</t>
    <phoneticPr fontId="1" type="noConversion"/>
  </si>
  <si>
    <t>500g26.8</t>
    <phoneticPr fontId="1" type="noConversion"/>
  </si>
  <si>
    <t>老香农</t>
    <phoneticPr fontId="1" type="noConversion"/>
  </si>
  <si>
    <t>468g*5包 52.8</t>
    <phoneticPr fontId="1" type="noConversion"/>
  </si>
  <si>
    <t>约10g*2</t>
    <phoneticPr fontId="1" type="noConversion"/>
  </si>
  <si>
    <t>约0.25</t>
    <phoneticPr fontId="1" type="noConversion"/>
  </si>
  <si>
    <t>骏腾食品</t>
    <phoneticPr fontId="1" type="noConversion"/>
  </si>
  <si>
    <t>2500g</t>
    <phoneticPr fontId="1" type="noConversion"/>
  </si>
  <si>
    <t>约20g*1</t>
    <phoneticPr fontId="1" type="noConversion"/>
  </si>
  <si>
    <t>约1.2左右</t>
    <phoneticPr fontId="1" type="noConversion"/>
  </si>
  <si>
    <t>宗正食品</t>
    <phoneticPr fontId="1" type="noConversion"/>
  </si>
  <si>
    <t>德芙巧克力</t>
    <phoneticPr fontId="1" type="noConversion"/>
  </si>
  <si>
    <t>500g 100 47.9</t>
    <phoneticPr fontId="1" type="noConversion"/>
  </si>
  <si>
    <t>约5g</t>
    <phoneticPr fontId="1" type="noConversion"/>
  </si>
  <si>
    <t>约0.48</t>
    <phoneticPr fontId="1" type="noConversion"/>
  </si>
  <si>
    <t>kpokaht巧克力糖</t>
  </si>
  <si>
    <t>500g 75 19.9</t>
    <phoneticPr fontId="1" type="noConversion"/>
  </si>
  <si>
    <t>约6.5g</t>
    <phoneticPr fontId="1" type="noConversion"/>
  </si>
  <si>
    <t>约0.27</t>
    <phoneticPr fontId="1" type="noConversion"/>
  </si>
  <si>
    <t>500g 22.8 42.9</t>
    <phoneticPr fontId="1" type="noConversion"/>
  </si>
  <si>
    <t>500g 15.8 28.8</t>
    <phoneticPr fontId="1" type="noConversion"/>
  </si>
  <si>
    <t>500g 9.9 18.8</t>
    <phoneticPr fontId="1" type="noConversion"/>
  </si>
  <si>
    <t>600g 19.6</t>
    <phoneticPr fontId="1" type="noConversion"/>
  </si>
  <si>
    <t>500g 26.8  53.6</t>
    <phoneticPr fontId="1" type="noConversion"/>
  </si>
  <si>
    <t>约每天1.8元/人</t>
    <phoneticPr fontId="1" type="noConversion"/>
  </si>
  <si>
    <t>270g 20 25.9</t>
    <phoneticPr fontId="1" type="noConversion"/>
  </si>
  <si>
    <t>约13g</t>
    <phoneticPr fontId="1" type="noConversion"/>
  </si>
  <si>
    <t>约 1.3</t>
    <phoneticPr fontId="1" type="noConversion"/>
  </si>
  <si>
    <t>8.6g</t>
    <phoneticPr fontId="1" type="noConversion"/>
  </si>
  <si>
    <t>长沙雄越</t>
    <phoneticPr fontId="1" type="noConversion"/>
  </si>
  <si>
    <t>500g 11.8</t>
    <phoneticPr fontId="1" type="noConversion"/>
  </si>
  <si>
    <t>约0.07</t>
    <phoneticPr fontId="1" type="noConversion"/>
  </si>
  <si>
    <t>468g 60 20.8</t>
    <phoneticPr fontId="1" type="noConversion"/>
  </si>
  <si>
    <t>约0.34</t>
    <phoneticPr fontId="1" type="noConversion"/>
  </si>
  <si>
    <t>500g 58 13.8</t>
    <phoneticPr fontId="1" type="noConversion"/>
  </si>
  <si>
    <t>小乔食品</t>
    <phoneticPr fontId="1" type="noConversion"/>
  </si>
  <si>
    <t>约0.24</t>
    <phoneticPr fontId="1" type="noConversion"/>
  </si>
  <si>
    <t>500g 118 11.8</t>
    <phoneticPr fontId="1" type="noConversion"/>
  </si>
  <si>
    <t>番薯干</t>
    <phoneticPr fontId="1" type="noConversion"/>
  </si>
  <si>
    <t>小馍丁</t>
    <phoneticPr fontId="1" type="noConversion"/>
  </si>
  <si>
    <t>23g</t>
    <phoneticPr fontId="1" type="noConversion"/>
  </si>
  <si>
    <t>800g*2 约70包 36.8</t>
    <phoneticPr fontId="1" type="noConversion"/>
  </si>
  <si>
    <t>0.53~0.57</t>
    <phoneticPr fontId="1" type="noConversion"/>
  </si>
  <si>
    <t>优麦食品/长沙雄越</t>
    <phoneticPr fontId="1" type="noConversion"/>
  </si>
  <si>
    <t>法式软面包</t>
    <phoneticPr fontId="1" type="noConversion"/>
  </si>
  <si>
    <t>20g</t>
    <phoneticPr fontId="1" type="noConversion"/>
  </si>
  <si>
    <t>法式小面包</t>
    <phoneticPr fontId="1" type="noConversion"/>
  </si>
  <si>
    <t>400g 12 9.9</t>
    <phoneticPr fontId="1" type="noConversion"/>
  </si>
  <si>
    <t>33g</t>
    <phoneticPr fontId="1" type="noConversion"/>
  </si>
  <si>
    <t>0.77~0.83</t>
    <phoneticPr fontId="1" type="noConversion"/>
  </si>
  <si>
    <t>悠然时光</t>
    <phoneticPr fontId="1" type="noConversion"/>
  </si>
  <si>
    <t>21g</t>
    <phoneticPr fontId="1" type="noConversion"/>
  </si>
  <si>
    <t>0.49~0.6</t>
    <phoneticPr fontId="1" type="noConversion"/>
  </si>
  <si>
    <t>60g</t>
    <phoneticPr fontId="1" type="noConversion"/>
  </si>
  <si>
    <t>500g*2 29.8</t>
    <phoneticPr fontId="1" type="noConversion"/>
  </si>
  <si>
    <t>乳酪面包</t>
    <phoneticPr fontId="1" type="noConversion"/>
  </si>
  <si>
    <t>600g  12 19.9</t>
    <phoneticPr fontId="1" type="noConversion"/>
  </si>
  <si>
    <t>1.67左右</t>
    <phoneticPr fontId="1" type="noConversion"/>
  </si>
  <si>
    <t>比比赞</t>
  </si>
  <si>
    <t>比比赞</t>
    <phoneticPr fontId="1" type="noConversion"/>
  </si>
  <si>
    <t>31g</t>
    <phoneticPr fontId="1" type="noConversion"/>
  </si>
  <si>
    <t>小粮磨坊</t>
    <phoneticPr fontId="1" type="noConversion"/>
  </si>
  <si>
    <t>芝麻黑豆黑米核桃粉500g 16 35.99 买二送一</t>
    <phoneticPr fontId="1" type="noConversion"/>
  </si>
  <si>
    <t>2.25/1.5左右</t>
    <phoneticPr fontId="1" type="noConversion"/>
  </si>
  <si>
    <t>红豆手撕+手撕 4斤 50 31.9</t>
    <phoneticPr fontId="1" type="noConversion"/>
  </si>
  <si>
    <t>1000g约30个？ 2kg 60 31.9</t>
    <phoneticPr fontId="1" type="noConversion"/>
  </si>
  <si>
    <t>33g？</t>
    <phoneticPr fontId="1" type="noConversion"/>
  </si>
  <si>
    <t>紫米 1kg 10 14.8</t>
    <phoneticPr fontId="1" type="noConversion"/>
  </si>
  <si>
    <t>吐司面包</t>
  </si>
  <si>
    <t>乳酪吐司蓝莓 800g  16 17.8</t>
    <phoneticPr fontId="1" type="noConversion"/>
  </si>
  <si>
    <t>紫薯木纹 500 9 9.9</t>
    <phoneticPr fontId="1" type="noConversion"/>
  </si>
  <si>
    <t>55g</t>
    <phoneticPr fontId="1" type="noConversion"/>
  </si>
  <si>
    <t>1kg 64 19.9</t>
    <phoneticPr fontId="1" type="noConversion"/>
  </si>
  <si>
    <t>0.31左右</t>
    <phoneticPr fontId="1" type="noConversion"/>
  </si>
  <si>
    <t>乳酪肉松面包</t>
    <phoneticPr fontId="1" type="noConversion"/>
  </si>
  <si>
    <t>400 7 9.9</t>
    <phoneticPr fontId="1" type="noConversion"/>
  </si>
  <si>
    <t>1.41左右</t>
    <phoneticPr fontId="1" type="noConversion"/>
  </si>
  <si>
    <t>巧克力蛋糕</t>
    <phoneticPr fontId="1" type="noConversion"/>
  </si>
  <si>
    <t>500g 16 19.9</t>
    <phoneticPr fontId="1" type="noConversion"/>
  </si>
  <si>
    <t>1.24左右</t>
    <phoneticPr fontId="1" type="noConversion"/>
  </si>
  <si>
    <t>原味蛋糕</t>
    <phoneticPr fontId="1" type="noConversion"/>
  </si>
  <si>
    <t>800 16 22.9</t>
    <phoneticPr fontId="1" type="noConversion"/>
  </si>
  <si>
    <t>1.43左右</t>
    <phoneticPr fontId="1" type="noConversion"/>
  </si>
  <si>
    <t>紫薯全麦 1kg 25  21.9</t>
    <phoneticPr fontId="1" type="noConversion"/>
  </si>
  <si>
    <t>40g</t>
    <phoneticPr fontId="1" type="noConversion"/>
  </si>
  <si>
    <t>18g</t>
    <phoneticPr fontId="1" type="noConversion"/>
  </si>
  <si>
    <t>800g 44 12.8</t>
    <phoneticPr fontId="1" type="noConversion"/>
  </si>
  <si>
    <t>蛋皮肉松面包</t>
    <phoneticPr fontId="1" type="noConversion"/>
  </si>
  <si>
    <t>400*4 20 33.9</t>
    <phoneticPr fontId="1" type="noConversion"/>
  </si>
  <si>
    <t>80g</t>
    <phoneticPr fontId="1" type="noConversion"/>
  </si>
  <si>
    <t>1.7左右</t>
    <phoneticPr fontId="1" type="noConversion"/>
  </si>
  <si>
    <t>35g</t>
    <phoneticPr fontId="1" type="noConversion"/>
  </si>
  <si>
    <t>500g 14 9.9</t>
    <phoneticPr fontId="1" type="noConversion"/>
  </si>
  <si>
    <t>0.7左右</t>
    <phoneticPr fontId="1" type="noConversion"/>
  </si>
  <si>
    <t>800 34 16.8</t>
    <phoneticPr fontId="1" type="noConversion"/>
  </si>
  <si>
    <t>24g</t>
    <phoneticPr fontId="1" type="noConversion"/>
  </si>
  <si>
    <t>黑麦手撕 500g 12 9.9</t>
    <phoneticPr fontId="1" type="noConversion"/>
  </si>
  <si>
    <t>41g</t>
    <phoneticPr fontId="1" type="noConversion"/>
  </si>
  <si>
    <t>500g25包 9.9</t>
    <phoneticPr fontId="1" type="noConversion"/>
  </si>
  <si>
    <t>500g14个 约9.9</t>
    <phoneticPr fontId="1" type="noConversion"/>
  </si>
  <si>
    <t>鸡蛋糕</t>
    <phoneticPr fontId="1" type="noConversion"/>
  </si>
  <si>
    <t>800g 24 16.9</t>
    <phoneticPr fontId="1" type="noConversion"/>
  </si>
  <si>
    <t>乳酸菌面包</t>
    <phoneticPr fontId="1" type="noConversion"/>
  </si>
  <si>
    <t>300g 12 14.8</t>
    <phoneticPr fontId="1" type="noConversion"/>
  </si>
  <si>
    <t>25g</t>
    <phoneticPr fontId="1" type="noConversion"/>
  </si>
  <si>
    <t>1kg 15.9</t>
    <phoneticPr fontId="1" type="noConversion"/>
  </si>
  <si>
    <t>100g</t>
    <phoneticPr fontId="1" type="noConversion"/>
  </si>
  <si>
    <t>42g</t>
    <phoneticPr fontId="1" type="noConversion"/>
  </si>
  <si>
    <t>1kg 24 15.9</t>
    <phoneticPr fontId="1" type="noConversion"/>
  </si>
  <si>
    <t>2kg 40 36.8</t>
    <phoneticPr fontId="1" type="noConversion"/>
  </si>
  <si>
    <t>750g 32</t>
    <phoneticPr fontId="1" type="noConversion"/>
  </si>
  <si>
    <t>达利园巧克力派</t>
    <phoneticPr fontId="1" type="noConversion"/>
  </si>
  <si>
    <t>1kg 34 23.8</t>
    <phoneticPr fontId="1" type="noConversion"/>
  </si>
  <si>
    <t>宝鸿食品</t>
    <phoneticPr fontId="1" type="noConversion"/>
  </si>
  <si>
    <t>长沙雄越/宝鸿</t>
    <phoneticPr fontId="1" type="noConversion"/>
  </si>
  <si>
    <t>20个 32.9</t>
    <phoneticPr fontId="1" type="noConversion"/>
  </si>
  <si>
    <t>团客互动食品</t>
  </si>
  <si>
    <t>270*3 27 21.9</t>
    <phoneticPr fontId="1" type="noConversion"/>
  </si>
  <si>
    <t>团客互动食品</t>
    <phoneticPr fontId="1" type="noConversion"/>
  </si>
  <si>
    <t>火腿肠</t>
    <phoneticPr fontId="1" type="noConversion"/>
  </si>
  <si>
    <t>240*3 24 27.9</t>
    <phoneticPr fontId="1" type="noConversion"/>
  </si>
  <si>
    <t>70g*10 10 19.9</t>
    <phoneticPr fontId="1" type="noConversion"/>
  </si>
  <si>
    <t>70g/4</t>
    <phoneticPr fontId="1" type="noConversion"/>
  </si>
  <si>
    <t>500g 20 29.9</t>
    <phoneticPr fontId="1" type="noConversion"/>
  </si>
  <si>
    <t>46g</t>
    <phoneticPr fontId="1" type="noConversion"/>
  </si>
  <si>
    <t>弘基农业</t>
    <phoneticPr fontId="1" type="noConversion"/>
  </si>
  <si>
    <t>760 23 22.5</t>
    <phoneticPr fontId="1" type="noConversion"/>
  </si>
  <si>
    <t>40g*20 30.4</t>
    <phoneticPr fontId="1" type="noConversion"/>
  </si>
  <si>
    <t>爱良食品</t>
    <phoneticPr fontId="1" type="noConversion"/>
  </si>
  <si>
    <t>200g 20 16.9</t>
    <phoneticPr fontId="1" type="noConversion"/>
  </si>
  <si>
    <t>480g  29.4</t>
    <phoneticPr fontId="1" type="noConversion"/>
  </si>
  <si>
    <t>天堂食品</t>
    <phoneticPr fontId="1" type="noConversion"/>
  </si>
  <si>
    <t>450g 29.9</t>
    <phoneticPr fontId="1" type="noConversion"/>
  </si>
  <si>
    <t>28g</t>
    <phoneticPr fontId="1" type="noConversion"/>
  </si>
  <si>
    <t>南国食品</t>
    <phoneticPr fontId="1" type="noConversion"/>
  </si>
  <si>
    <t>400g 20 16.9</t>
    <phoneticPr fontId="1" type="noConversion"/>
  </si>
  <si>
    <t>甜/红枣奶茶</t>
    <phoneticPr fontId="1" type="noConversion"/>
  </si>
  <si>
    <t>塔拉额吉</t>
  </si>
  <si>
    <t>各地选美食</t>
    <phoneticPr fontId="1" type="noConversion"/>
  </si>
  <si>
    <t>12g*26</t>
    <phoneticPr fontId="1" type="noConversion"/>
  </si>
  <si>
    <t>12g</t>
    <phoneticPr fontId="1" type="noConversion"/>
  </si>
  <si>
    <t xml:space="preserve">180g </t>
    <phoneticPr fontId="1" type="noConversion"/>
  </si>
  <si>
    <t>20g*20  21.8</t>
    <phoneticPr fontId="1" type="noConversion"/>
  </si>
  <si>
    <t>冬盛食品</t>
    <phoneticPr fontId="1" type="noConversion"/>
  </si>
  <si>
    <t>60g*20 41.99</t>
    <phoneticPr fontId="1" type="noConversion"/>
  </si>
  <si>
    <t>颜二爷零食店</t>
    <phoneticPr fontId="1" type="noConversion"/>
  </si>
  <si>
    <t>468g*5  17*5 65</t>
    <phoneticPr fontId="1" type="noConversion"/>
  </si>
  <si>
    <t>美妙食客</t>
    <phoneticPr fontId="1" type="noConversion"/>
  </si>
  <si>
    <t>吊炉烧饼</t>
    <phoneticPr fontId="1" type="noConversion"/>
  </si>
  <si>
    <t>小吊炉 100g*20 36</t>
    <phoneticPr fontId="1" type="noConversion"/>
  </si>
  <si>
    <t>100g</t>
    <phoneticPr fontId="1" type="noConversion"/>
  </si>
  <si>
    <t>山东美食特产店</t>
    <phoneticPr fontId="1" type="noConversion"/>
  </si>
  <si>
    <t>大烧饼 150g*10 28</t>
    <phoneticPr fontId="1" type="noConversion"/>
  </si>
  <si>
    <t>150g</t>
    <phoneticPr fontId="1" type="noConversion"/>
  </si>
  <si>
    <t>320g*5 32.8</t>
    <phoneticPr fontId="1" type="noConversion"/>
  </si>
  <si>
    <t>篱胧物语旗舰店</t>
  </si>
  <si>
    <t>20 22.8</t>
    <phoneticPr fontId="1" type="noConversion"/>
  </si>
  <si>
    <t>篱胧物语旗舰店</t>
    <phoneticPr fontId="1" type="noConversion"/>
  </si>
  <si>
    <t>1lkg 50 21.8</t>
    <phoneticPr fontId="1" type="noConversion"/>
  </si>
  <si>
    <t>20g</t>
    <phoneticPr fontId="1" type="noConversion"/>
  </si>
  <si>
    <t>140g</t>
    <phoneticPr fontId="1" type="noConversion"/>
  </si>
  <si>
    <t>简妙食品</t>
    <phoneticPr fontId="1" type="noConversion"/>
  </si>
  <si>
    <t>2500g 16.8</t>
    <phoneticPr fontId="1" type="noConversion"/>
  </si>
  <si>
    <t>156g</t>
    <phoneticPr fontId="1" type="noConversion"/>
  </si>
  <si>
    <t>各地选美食</t>
    <phoneticPr fontId="1" type="noConversion"/>
  </si>
  <si>
    <t>豚骨拉面汁</t>
    <phoneticPr fontId="1" type="noConversion"/>
  </si>
  <si>
    <t>40g</t>
    <phoneticPr fontId="1" type="noConversion"/>
  </si>
  <si>
    <t>炸酱面拌酱</t>
    <phoneticPr fontId="1" type="noConversion"/>
  </si>
  <si>
    <t>30g</t>
    <phoneticPr fontId="1" type="noConversion"/>
  </si>
  <si>
    <t>XO拌面酱</t>
    <phoneticPr fontId="1" type="noConversion"/>
  </si>
  <si>
    <t>25g</t>
    <phoneticPr fontId="1" type="noConversion"/>
  </si>
  <si>
    <t>虾皮</t>
    <phoneticPr fontId="1" type="noConversion"/>
  </si>
  <si>
    <t>500g 16.9</t>
    <phoneticPr fontId="1" type="noConversion"/>
  </si>
  <si>
    <t>斯麦儿食品</t>
    <phoneticPr fontId="1" type="noConversion"/>
  </si>
  <si>
    <t>15g</t>
    <phoneticPr fontId="1" type="noConversion"/>
  </si>
  <si>
    <t>粒仔记</t>
  </si>
  <si>
    <t>麦丹郎食品</t>
    <phoneticPr fontId="1" type="noConversion"/>
  </si>
  <si>
    <t>水果硬糖</t>
    <phoneticPr fontId="1" type="noConversion"/>
  </si>
  <si>
    <t>燕麦巧克力</t>
    <phoneticPr fontId="1" type="noConversion"/>
  </si>
  <si>
    <t>500g</t>
    <phoneticPr fontId="1" type="noConversion"/>
  </si>
  <si>
    <t>葡萄干</t>
    <phoneticPr fontId="1" type="noConversion"/>
  </si>
  <si>
    <t>300g</t>
    <phoneticPr fontId="1" type="noConversion"/>
  </si>
  <si>
    <t>蟹黄瓜子仁</t>
    <phoneticPr fontId="1" type="noConversion"/>
  </si>
  <si>
    <t>椒盐花生米</t>
    <phoneticPr fontId="1" type="noConversion"/>
  </si>
  <si>
    <t>原味青豆</t>
    <phoneticPr fontId="1" type="noConversion"/>
  </si>
  <si>
    <t>卤蛋</t>
    <phoneticPr fontId="1" type="noConversion"/>
  </si>
  <si>
    <t>600g</t>
    <phoneticPr fontId="1" type="noConversion"/>
  </si>
  <si>
    <t xml:space="preserve">牛妞内蒙古特产 </t>
    <phoneticPr fontId="1" type="noConversion"/>
  </si>
  <si>
    <t>3kg 55</t>
    <phoneticPr fontId="1" type="noConversion"/>
  </si>
  <si>
    <t>93g</t>
    <phoneticPr fontId="1" type="noConversion"/>
  </si>
  <si>
    <t>360g 18包 9.9</t>
  </si>
  <si>
    <t>价格（元）</t>
    <phoneticPr fontId="1" type="noConversion"/>
  </si>
  <si>
    <t>每人（g）</t>
    <phoneticPr fontId="1" type="noConversion"/>
  </si>
  <si>
    <t>豆奶煮麦片；
利拉饼干为焦糖/黑糖味饼干</t>
    <phoneticPr fontId="1" type="noConversion"/>
  </si>
  <si>
    <t>总计</t>
    <phoneticPr fontId="1" type="noConversion"/>
  </si>
  <si>
    <t>谷物圈</t>
    <phoneticPr fontId="1" type="noConversion"/>
  </si>
  <si>
    <t>牛肉干</t>
    <phoneticPr fontId="1" type="noConversion"/>
  </si>
  <si>
    <t>咸奶茶</t>
    <phoneticPr fontId="1" type="noConversion"/>
  </si>
  <si>
    <t>炒米</t>
    <phoneticPr fontId="1" type="noConversion"/>
  </si>
  <si>
    <t>咸奶茶煮炒米</t>
    <phoneticPr fontId="1" type="noConversion"/>
  </si>
  <si>
    <t>豆浆粉泡谷物圈（包括紫薯山药圈、黑米红枣圈、燕麦圈、山药玉米脆片）</t>
    <phoneticPr fontId="1" type="noConversion"/>
  </si>
  <si>
    <t>名称</t>
    <phoneticPr fontId="1" type="noConversion"/>
  </si>
  <si>
    <t>类型</t>
    <phoneticPr fontId="1" type="noConversion"/>
  </si>
  <si>
    <t>早
餐</t>
    <phoneticPr fontId="1" type="noConversion"/>
  </si>
  <si>
    <t>紫米面包</t>
    <phoneticPr fontId="1" type="noConversion"/>
  </si>
  <si>
    <t>馍丁</t>
    <phoneticPr fontId="1" type="noConversion"/>
  </si>
  <si>
    <t>蛋皮肉松面包</t>
    <phoneticPr fontId="1" type="noConversion"/>
  </si>
  <si>
    <t>巧克力派</t>
    <phoneticPr fontId="1" type="noConversion"/>
  </si>
  <si>
    <t>红薯干</t>
    <phoneticPr fontId="1" type="noConversion"/>
  </si>
  <si>
    <t>法式软面包</t>
    <phoneticPr fontId="1" type="noConversion"/>
  </si>
  <si>
    <t>午
餐</t>
    <phoneticPr fontId="1" type="noConversion"/>
  </si>
  <si>
    <r>
      <t xml:space="preserve">B1
</t>
    </r>
    <r>
      <rPr>
        <sz val="9"/>
        <color theme="1"/>
        <rFont val="思源黑体 CN Medium"/>
        <family val="2"/>
        <charset val="128"/>
      </rPr>
      <t>两顿</t>
    </r>
    <phoneticPr fontId="1" type="noConversion"/>
  </si>
  <si>
    <r>
      <t xml:space="preserve">B2
</t>
    </r>
    <r>
      <rPr>
        <sz val="9"/>
        <color theme="1"/>
        <rFont val="思源黑体 CN Medium"/>
        <family val="2"/>
        <charset val="128"/>
      </rPr>
      <t>一顿</t>
    </r>
    <phoneticPr fontId="1" type="noConversion"/>
  </si>
  <si>
    <r>
      <t xml:space="preserve">L1
</t>
    </r>
    <r>
      <rPr>
        <sz val="9"/>
        <color theme="1"/>
        <rFont val="思源黑体 CN Medium"/>
        <family val="2"/>
        <charset val="128"/>
      </rPr>
      <t>两顿</t>
    </r>
    <phoneticPr fontId="1" type="noConversion"/>
  </si>
  <si>
    <r>
      <t xml:space="preserve">L2
</t>
    </r>
    <r>
      <rPr>
        <sz val="9"/>
        <color theme="1"/>
        <rFont val="思源黑体 CN Medium"/>
        <family val="2"/>
        <charset val="128"/>
      </rPr>
      <t>两顿</t>
    </r>
    <phoneticPr fontId="1" type="noConversion"/>
  </si>
  <si>
    <r>
      <t xml:space="preserve">L3
</t>
    </r>
    <r>
      <rPr>
        <sz val="9"/>
        <color theme="1"/>
        <rFont val="思源黑体 CN Medium"/>
        <family val="2"/>
        <charset val="128"/>
      </rPr>
      <t>一顿</t>
    </r>
    <phoneticPr fontId="1" type="noConversion"/>
  </si>
  <si>
    <t>龙须面</t>
    <phoneticPr fontId="1" type="noConversion"/>
  </si>
  <si>
    <t>豆皮</t>
    <phoneticPr fontId="1" type="noConversion"/>
  </si>
  <si>
    <r>
      <t xml:space="preserve">D1
</t>
    </r>
    <r>
      <rPr>
        <sz val="9"/>
        <color theme="1"/>
        <rFont val="思源黑体 CN Medium"/>
        <family val="2"/>
        <charset val="128"/>
      </rPr>
      <t>两顿</t>
    </r>
    <phoneticPr fontId="1" type="noConversion"/>
  </si>
  <si>
    <t>土豆泥粉</t>
    <phoneticPr fontId="1" type="noConversion"/>
  </si>
  <si>
    <t>黑椒汁</t>
    <phoneticPr fontId="1" type="noConversion"/>
  </si>
  <si>
    <t>吊炉烧饼</t>
    <phoneticPr fontId="1" type="noConversion"/>
  </si>
  <si>
    <t>甜奶茶</t>
    <phoneticPr fontId="1" type="noConversion"/>
  </si>
  <si>
    <r>
      <t xml:space="preserve">L4
</t>
    </r>
    <r>
      <rPr>
        <sz val="9"/>
        <color theme="1"/>
        <rFont val="思源黑体 CN Medium"/>
        <family val="2"/>
        <charset val="128"/>
      </rPr>
      <t>两顿，其中一顿为备用</t>
    </r>
    <phoneticPr fontId="1" type="noConversion"/>
  </si>
  <si>
    <r>
      <t xml:space="preserve">B3
</t>
    </r>
    <r>
      <rPr>
        <sz val="9"/>
        <color theme="1"/>
        <rFont val="思源黑体 CN Medium"/>
        <family val="2"/>
        <charset val="128"/>
      </rPr>
      <t>两顿，其中一顿为备用</t>
    </r>
    <phoneticPr fontId="1" type="noConversion"/>
  </si>
  <si>
    <t>冲泡米饭</t>
    <phoneticPr fontId="1" type="noConversion"/>
  </si>
  <si>
    <t>蜜豆</t>
    <phoneticPr fontId="1" type="noConversion"/>
  </si>
  <si>
    <t>晚
餐</t>
    <phoneticPr fontId="1" type="noConversion"/>
  </si>
  <si>
    <t>芝麻海苔碎</t>
    <phoneticPr fontId="1" type="noConversion"/>
  </si>
  <si>
    <t>冲泡米饭+芝麻海苔碎+香菇酱+金针菇、海带丝、榨菜；
红豆薏米粉煮/泡蜜豆</t>
    <phoneticPr fontId="1" type="noConversion"/>
  </si>
  <si>
    <t>糖类</t>
    <phoneticPr fontId="1" type="noConversion"/>
  </si>
  <si>
    <t>果干
约50g</t>
    <phoneticPr fontId="1" type="noConversion"/>
  </si>
  <si>
    <t>行动
食品</t>
    <phoneticPr fontId="1" type="noConversion"/>
  </si>
  <si>
    <t>黑椒汁拌土豆泥；豚骨拉面汁煮豆皮、青菜、干贝</t>
    <phoneticPr fontId="1" type="noConversion"/>
  </si>
  <si>
    <t>干贝</t>
    <phoneticPr fontId="1" type="noConversion"/>
  </si>
  <si>
    <t>成都</t>
    <phoneticPr fontId="1" type="noConversion"/>
  </si>
  <si>
    <t>草科</t>
    <phoneticPr fontId="1" type="noConversion"/>
  </si>
  <si>
    <t>子梅村</t>
    <phoneticPr fontId="1" type="noConversion"/>
  </si>
  <si>
    <t>老榆林或成都</t>
    <phoneticPr fontId="1" type="noConversion"/>
  </si>
  <si>
    <t>成都庆功宴</t>
    <phoneticPr fontId="1" type="noConversion"/>
  </si>
  <si>
    <t>合计</t>
    <phoneticPr fontId="1" type="noConversion"/>
  </si>
  <si>
    <t>徒步早餐4顿，备用1顿，共5顿</t>
    <phoneticPr fontId="1" type="noConversion"/>
  </si>
  <si>
    <t>徒步午餐6顿，备用1顿，共7顿</t>
    <phoneticPr fontId="1" type="noConversion"/>
  </si>
  <si>
    <t>徒步晚餐4顿，备用1顿，共5顿</t>
    <phoneticPr fontId="1" type="noConversion"/>
  </si>
  <si>
    <t>行动食品14日-19日共6天，备用1天，共7天</t>
    <phoneticPr fontId="1" type="noConversion"/>
  </si>
  <si>
    <t xml:space="preserve"> 三岛牛肉汤</t>
    <phoneticPr fontId="1" type="noConversion"/>
  </si>
  <si>
    <t>购入量</t>
    <phoneticPr fontId="1" type="noConversion"/>
  </si>
  <si>
    <t>总价</t>
    <phoneticPr fontId="1" type="noConversion"/>
  </si>
  <si>
    <t>大包装单价（元）</t>
    <phoneticPr fontId="1" type="noConversion"/>
  </si>
  <si>
    <t>大包装含量（g）</t>
    <phoneticPr fontId="1" type="noConversion"/>
  </si>
  <si>
    <t>原味巴旦木</t>
    <phoneticPr fontId="1" type="noConversion"/>
  </si>
  <si>
    <t>500g*2为68元，500g为34.8元</t>
    <phoneticPr fontId="1" type="noConversion"/>
  </si>
  <si>
    <t>约13.4g</t>
    <phoneticPr fontId="1" type="noConversion"/>
  </si>
  <si>
    <t>炭烧腰果</t>
    <phoneticPr fontId="1" type="noConversion"/>
  </si>
  <si>
    <t>约13.4g</t>
    <phoneticPr fontId="1" type="noConversion"/>
  </si>
  <si>
    <t>500g*2为56元，500g为28.8元</t>
    <phoneticPr fontId="1" type="noConversion"/>
  </si>
  <si>
    <t>琥珀芝麻花生米</t>
    <phoneticPr fontId="1" type="noConversion"/>
  </si>
  <si>
    <t>500g*2为22.8元，500g为12.8元</t>
    <phoneticPr fontId="1" type="noConversion"/>
  </si>
  <si>
    <t>约8.9g</t>
    <phoneticPr fontId="1" type="noConversion"/>
  </si>
  <si>
    <t>1000g</t>
    <phoneticPr fontId="1" type="noConversion"/>
  </si>
  <si>
    <t>1500g</t>
    <phoneticPr fontId="1" type="noConversion"/>
  </si>
  <si>
    <t>600g</t>
    <phoneticPr fontId="1" type="noConversion"/>
  </si>
  <si>
    <t>三色葡萄干</t>
    <phoneticPr fontId="1" type="noConversion"/>
  </si>
  <si>
    <t>2000g</t>
    <phoneticPr fontId="1" type="noConversion"/>
  </si>
  <si>
    <t>500g*2为28.8元</t>
    <phoneticPr fontId="1" type="noConversion"/>
  </si>
  <si>
    <t>坚果
约49g</t>
    <phoneticPr fontId="1" type="noConversion"/>
  </si>
  <si>
    <t>500g*2为42.9元</t>
    <phoneticPr fontId="1" type="noConversion"/>
  </si>
  <si>
    <t>250g*4为18.8元</t>
    <phoneticPr fontId="1" type="noConversion"/>
  </si>
  <si>
    <t>250g*2为26.8元</t>
    <phoneticPr fontId="1" type="noConversion"/>
  </si>
  <si>
    <t>120g为9.8元（买2送3）</t>
    <phoneticPr fontId="1" type="noConversion"/>
  </si>
  <si>
    <t>500g约24条29.8元，2000g约96条115.8元</t>
    <phoneticPr fontId="1" type="noConversion"/>
  </si>
  <si>
    <t>2500g</t>
    <phoneticPr fontId="1" type="noConversion"/>
  </si>
  <si>
    <r>
      <t>1个</t>
    </r>
    <r>
      <rPr>
        <sz val="9"/>
        <color theme="1"/>
        <rFont val="思源黑体 CN Light"/>
        <family val="2"/>
        <charset val="128"/>
      </rPr>
      <t>（约20g）</t>
    </r>
    <phoneticPr fontId="1" type="noConversion"/>
  </si>
  <si>
    <t>宗正食品专营店</t>
    <phoneticPr fontId="1" type="noConversion"/>
  </si>
  <si>
    <t>老香农旗舰店</t>
    <phoneticPr fontId="1" type="noConversion"/>
  </si>
  <si>
    <t>骏腾食品专营店</t>
    <phoneticPr fontId="1" type="noConversion"/>
  </si>
  <si>
    <t>468g（约45个）*5为52.8元</t>
    <phoneticPr fontId="1" type="noConversion"/>
  </si>
  <si>
    <t>5包</t>
    <phoneticPr fontId="1" type="noConversion"/>
  </si>
  <si>
    <t>5颗</t>
    <phoneticPr fontId="1" type="noConversion"/>
  </si>
  <si>
    <t>2包</t>
    <phoneticPr fontId="1" type="noConversion"/>
  </si>
  <si>
    <t>长沙雄越食品专营</t>
    <phoneticPr fontId="1" type="noConversion"/>
  </si>
  <si>
    <t>小乔食品专营店</t>
    <phoneticPr fontId="1" type="noConversion"/>
  </si>
  <si>
    <t>黑糖话梅糖</t>
    <phoneticPr fontId="1" type="noConversion"/>
  </si>
  <si>
    <t>1包</t>
    <phoneticPr fontId="1" type="noConversion"/>
  </si>
  <si>
    <t>468g（约70颗）为24.8元</t>
    <phoneticPr fontId="1" type="noConversion"/>
  </si>
  <si>
    <t>500g（约118颗）为11.8元</t>
    <phoneticPr fontId="1" type="noConversion"/>
  </si>
  <si>
    <t>总计（元）</t>
    <phoneticPr fontId="1" type="noConversion"/>
  </si>
  <si>
    <t>不含库存食品金额</t>
    <phoneticPr fontId="1" type="noConversion"/>
  </si>
  <si>
    <r>
      <t>2个</t>
    </r>
    <r>
      <rPr>
        <sz val="9"/>
        <color theme="1"/>
        <rFont val="思源黑体 CN Light"/>
        <family val="2"/>
        <charset val="128"/>
      </rPr>
      <t>（约20g）</t>
    </r>
    <phoneticPr fontId="1" type="noConversion"/>
  </si>
  <si>
    <t>需224，新买入约225，库存3</t>
    <phoneticPr fontId="1" type="noConversion"/>
  </si>
  <si>
    <t>需112，新买入约120</t>
    <phoneticPr fontId="1" type="noConversion"/>
  </si>
  <si>
    <t>均为新买入。另外，库存：
蟹黄瓜子仁1小包（约11.8g）
椒盐花生米5小包（约15g*5）
原味青豆25小包（约8.4g*25）</t>
    <phoneticPr fontId="1" type="noConversion"/>
  </si>
  <si>
    <t>约5.4g</t>
    <phoneticPr fontId="1" type="noConversion"/>
  </si>
  <si>
    <t>均为新买入。另外，库存：
葡萄干1小包（约23.5g）</t>
    <phoneticPr fontId="1" type="noConversion"/>
  </si>
  <si>
    <t>甜点</t>
  </si>
  <si>
    <t>甜点</t>
    <phoneticPr fontId="1" type="noConversion"/>
  </si>
  <si>
    <t>主食 咸</t>
    <phoneticPr fontId="1" type="noConversion"/>
  </si>
  <si>
    <t>热饮
主食 甜</t>
    <phoneticPr fontId="1" type="noConversion"/>
  </si>
  <si>
    <t>肉类</t>
    <phoneticPr fontId="1" type="noConversion"/>
  </si>
  <si>
    <t>英田副食品/篱胧物语旗舰店</t>
    <phoneticPr fontId="1" type="noConversion"/>
  </si>
  <si>
    <t>320g*5为32.8元</t>
    <phoneticPr fontId="1" type="noConversion"/>
  </si>
  <si>
    <t>1600g</t>
    <phoneticPr fontId="1" type="noConversion"/>
  </si>
  <si>
    <t>桂格即食燕麦片</t>
    <phoneticPr fontId="1" type="noConversion"/>
  </si>
  <si>
    <t>比比赞旗舰店</t>
    <phoneticPr fontId="1" type="noConversion"/>
  </si>
  <si>
    <t>2kg</t>
    <phoneticPr fontId="1" type="noConversion"/>
  </si>
  <si>
    <t>2kg为29.9</t>
    <phoneticPr fontId="1" type="noConversion"/>
  </si>
  <si>
    <t>3500g</t>
    <phoneticPr fontId="1" type="noConversion"/>
  </si>
  <si>
    <r>
      <t>500g5个；1kg为14.8元</t>
    </r>
    <r>
      <rPr>
        <sz val="9"/>
        <color theme="1"/>
        <rFont val="思源黑体 CN Light"/>
        <family val="2"/>
        <charset val="128"/>
      </rPr>
      <t>（限量）</t>
    </r>
    <r>
      <rPr>
        <sz val="11"/>
        <color theme="1"/>
        <rFont val="思源黑体 CN Light"/>
        <family val="2"/>
        <charset val="134"/>
      </rPr>
      <t>，500g为7.9元</t>
    </r>
    <r>
      <rPr>
        <sz val="9"/>
        <color theme="1"/>
        <rFont val="思源黑体 CN Light"/>
        <family val="2"/>
        <charset val="128"/>
      </rPr>
      <t>（限量）</t>
    </r>
  </si>
  <si>
    <r>
      <t>岩烧乳酪吐司</t>
    </r>
    <r>
      <rPr>
        <sz val="9"/>
        <color theme="1"/>
        <rFont val="思源黑体 CN Light"/>
        <family val="2"/>
        <charset val="128"/>
      </rPr>
      <t>（蓝莓）</t>
    </r>
  </si>
  <si>
    <t>800g（16个）为17.8元</t>
    <phoneticPr fontId="1" type="noConversion"/>
  </si>
  <si>
    <t>800g</t>
    <phoneticPr fontId="1" type="noConversion"/>
  </si>
  <si>
    <t>需16*2个，购入约35个，余3个，库存1个(80g)</t>
    <phoneticPr fontId="1" type="noConversion"/>
  </si>
  <si>
    <t>2kg（约36个）为33.9元（限量）</t>
    <phoneticPr fontId="1" type="noConversion"/>
  </si>
  <si>
    <t>2000g</t>
    <phoneticPr fontId="1" type="noConversion"/>
  </si>
  <si>
    <t>紫薯木纹吐司</t>
    <phoneticPr fontId="1" type="noConversion"/>
  </si>
  <si>
    <t>需16*2个，购入约36个，余4个</t>
    <phoneticPr fontId="1" type="noConversion"/>
  </si>
  <si>
    <t>41.6g</t>
    <phoneticPr fontId="1" type="noConversion"/>
  </si>
  <si>
    <t>红豆手撕面包</t>
    <phoneticPr fontId="1" type="noConversion"/>
  </si>
  <si>
    <t>500g（12个）为9.9元</t>
    <phoneticPr fontId="1" type="noConversion"/>
  </si>
  <si>
    <t>1000g</t>
    <phoneticPr fontId="1" type="noConversion"/>
  </si>
  <si>
    <t>需16个，购入约24个，余8个</t>
    <phoneticPr fontId="1" type="noConversion"/>
  </si>
  <si>
    <t>原味纯蛋糕</t>
    <phoneticPr fontId="1" type="noConversion"/>
  </si>
  <si>
    <t>800g（16个）为16.9元</t>
    <phoneticPr fontId="1" type="noConversion"/>
  </si>
  <si>
    <r>
      <t xml:space="preserve">D3
</t>
    </r>
    <r>
      <rPr>
        <sz val="9"/>
        <color theme="1"/>
        <rFont val="思源黑体 CN Medium"/>
        <family val="2"/>
        <charset val="128"/>
      </rPr>
      <t>两顿，其中一顿为备用</t>
    </r>
  </si>
  <si>
    <r>
      <t xml:space="preserve">D2
</t>
    </r>
    <r>
      <rPr>
        <sz val="9"/>
        <color theme="1"/>
        <rFont val="思源黑体 CN Medium"/>
        <family val="2"/>
        <charset val="128"/>
      </rPr>
      <t>一顿</t>
    </r>
    <phoneticPr fontId="1" type="noConversion"/>
  </si>
  <si>
    <t>瑞士卷（草莓味）</t>
    <phoneticPr fontId="1" type="noConversion"/>
  </si>
  <si>
    <t>800g（约34个）为16.8元</t>
    <phoneticPr fontId="1" type="noConversion"/>
  </si>
  <si>
    <t>需16*2个，购入约34个，余2个</t>
    <phoneticPr fontId="1" type="noConversion"/>
  </si>
  <si>
    <t>400g（5个）*4为33.9，400g*2为17.9，400g为9.9</t>
    <phoneticPr fontId="1" type="noConversion"/>
  </si>
  <si>
    <t>2800g</t>
    <phoneticPr fontId="1" type="noConversion"/>
  </si>
  <si>
    <t>需16*2个，购入约35个，余3个</t>
    <phoneticPr fontId="1" type="noConversion"/>
  </si>
  <si>
    <t>老香农旗舰店</t>
    <phoneticPr fontId="1" type="noConversion"/>
  </si>
  <si>
    <t>500g*2为29.8元</t>
    <phoneticPr fontId="1" type="noConversion"/>
  </si>
  <si>
    <t>800g（16包）为16.8元</t>
    <phoneticPr fontId="1" type="noConversion"/>
  </si>
  <si>
    <t>2400g</t>
    <phoneticPr fontId="1" type="noConversion"/>
  </si>
  <si>
    <t>已计入L1“馍丁”中</t>
    <phoneticPr fontId="1" type="noConversion"/>
  </si>
  <si>
    <t>乾盈食品</t>
    <phoneticPr fontId="1" type="noConversion"/>
  </si>
  <si>
    <t>与L3合并；2kg为38.8元,400g为8.9元</t>
    <phoneticPr fontId="1" type="noConversion"/>
  </si>
  <si>
    <t>与D2合并；1kg（约55小包）混合口味为21.8元</t>
    <phoneticPr fontId="1" type="noConversion"/>
  </si>
  <si>
    <t>1kg</t>
    <phoneticPr fontId="1" type="noConversion"/>
  </si>
  <si>
    <t>已计入B1“利拉饼干”中</t>
    <phoneticPr fontId="1" type="noConversion"/>
  </si>
  <si>
    <t>需16*2小包，购入约24小包，余8小包</t>
  </si>
  <si>
    <t>30g*10袋为12.8元</t>
    <phoneticPr fontId="1" type="noConversion"/>
  </si>
  <si>
    <t>优麦食品专营店</t>
    <phoneticPr fontId="1" type="noConversion"/>
  </si>
  <si>
    <t>需16小包，购入10包，库存7包</t>
    <phoneticPr fontId="1" type="noConversion"/>
  </si>
  <si>
    <r>
      <t>760g</t>
    </r>
    <r>
      <rPr>
        <sz val="9"/>
        <color theme="1"/>
        <rFont val="思源黑体 CN Light"/>
        <family val="2"/>
        <charset val="128"/>
      </rPr>
      <t>（约24小包）</t>
    </r>
    <r>
      <rPr>
        <sz val="11"/>
        <color theme="1"/>
        <rFont val="思源黑体 CN Light"/>
        <family val="2"/>
        <charset val="134"/>
      </rPr>
      <t>为21.9元</t>
    </r>
    <r>
      <rPr>
        <sz val="9"/>
        <color theme="1"/>
        <rFont val="思源黑体 CN Light"/>
        <family val="2"/>
        <charset val="128"/>
      </rPr>
      <t>（满24.9-3）</t>
    </r>
    <r>
      <rPr>
        <sz val="11"/>
        <color theme="1"/>
        <rFont val="思源黑体 CN Light"/>
        <family val="2"/>
        <charset val="134"/>
      </rPr>
      <t>；360g为</t>
    </r>
    <r>
      <rPr>
        <sz val="9"/>
        <color theme="1"/>
        <rFont val="思源黑体 CN Light"/>
        <family val="2"/>
        <charset val="128"/>
      </rPr>
      <t>（约12包）</t>
    </r>
    <r>
      <rPr>
        <sz val="11"/>
        <color theme="1"/>
        <rFont val="思源黑体 CN Light"/>
        <family val="2"/>
        <charset val="134"/>
      </rPr>
      <t>为13.6元</t>
    </r>
    <phoneticPr fontId="1" type="noConversion"/>
  </si>
  <si>
    <t>1120g</t>
    <phoneticPr fontId="1" type="noConversion"/>
  </si>
  <si>
    <t>需16*2小包，购入约36小包，余4小包</t>
    <phoneticPr fontId="1" type="noConversion"/>
  </si>
  <si>
    <t>需16*3小包，购入约55小包，余7小包</t>
    <phoneticPr fontId="1" type="noConversion"/>
  </si>
  <si>
    <t>宝鸿食品专营店</t>
    <phoneticPr fontId="1" type="noConversion"/>
  </si>
  <si>
    <t>非网购，卜蜂莲花</t>
    <phoneticPr fontId="1" type="noConversion"/>
  </si>
  <si>
    <t>420g</t>
    <phoneticPr fontId="1" type="noConversion"/>
  </si>
  <si>
    <t>420g（约66个）为13.9元</t>
    <phoneticPr fontId="1" type="noConversion"/>
  </si>
  <si>
    <t>需64（每人4）个，购入约66个，余2个，库存6个</t>
    <phoneticPr fontId="1" type="noConversion"/>
  </si>
  <si>
    <t>eg万年青（500 22  13.8）、香葱、苏打</t>
    <phoneticPr fontId="1" type="noConversion"/>
  </si>
  <si>
    <t>600g*5袋为55元</t>
    <phoneticPr fontId="1" type="noConversion"/>
  </si>
  <si>
    <t>3000g</t>
    <phoneticPr fontId="1" type="noConversion"/>
  </si>
  <si>
    <t>牛妞内蒙古特产</t>
    <phoneticPr fontId="1" type="noConversion"/>
  </si>
  <si>
    <t>颜二爷零食店</t>
  </si>
  <si>
    <t>60袋</t>
    <phoneticPr fontId="1" type="noConversion"/>
  </si>
  <si>
    <t>1kg（约34个）为22.9元</t>
    <phoneticPr fontId="1" type="noConversion"/>
  </si>
  <si>
    <t>需16*2个，购入约34个，余2个，库存10个</t>
    <phoneticPr fontId="1" type="noConversion"/>
  </si>
  <si>
    <t>五香豆干1</t>
    <phoneticPr fontId="1" type="noConversion"/>
  </si>
  <si>
    <t>五香豆干2</t>
    <phoneticPr fontId="1" type="noConversion"/>
  </si>
  <si>
    <t>与L3合并；1500g三斤（一斤17-18包）为44.5元</t>
    <phoneticPr fontId="1" type="noConversion"/>
  </si>
  <si>
    <t>1500g</t>
    <phoneticPr fontId="1" type="noConversion"/>
  </si>
  <si>
    <t>需16*3个，购入51~54个，余3~6个</t>
    <phoneticPr fontId="1" type="noConversion"/>
  </si>
  <si>
    <t>已计入L2“五香豆干2”中</t>
    <phoneticPr fontId="1" type="noConversion"/>
  </si>
  <si>
    <t>已计入L1“五香豆干1” 中</t>
    <phoneticPr fontId="1" type="noConversion"/>
  </si>
  <si>
    <t>团客互动食品</t>
    <phoneticPr fontId="1" type="noConversion"/>
  </si>
  <si>
    <t>团客互动食品专营</t>
  </si>
  <si>
    <t>榨菜 鲜脆菜丝</t>
    <phoneticPr fontId="1" type="noConversion"/>
  </si>
  <si>
    <t>清淡榨菜</t>
    <phoneticPr fontId="1" type="noConversion"/>
  </si>
  <si>
    <t>15g*20袋为9.9元</t>
    <phoneticPr fontId="1" type="noConversion"/>
  </si>
  <si>
    <t>团客互动食品专营</t>
    <phoneticPr fontId="1" type="noConversion"/>
  </si>
  <si>
    <t>与L4合并；1.32kg（约65包）为29.9元，360g（约18包）为9.9元</t>
    <phoneticPr fontId="1" type="noConversion"/>
  </si>
  <si>
    <t>1.68kg</t>
    <phoneticPr fontId="1" type="noConversion"/>
  </si>
  <si>
    <t>需16*（1+2*2）个，购入约83个，余3个，库存4个</t>
    <phoneticPr fontId="1" type="noConversion"/>
  </si>
  <si>
    <t>已计入B2“法式软面包”中</t>
    <phoneticPr fontId="1" type="noConversion"/>
  </si>
  <si>
    <t>玉米热狗肠</t>
    <phoneticPr fontId="1" type="noConversion"/>
  </si>
  <si>
    <t>火车食品（往）</t>
    <phoneticPr fontId="1" type="noConversion"/>
  </si>
  <si>
    <t>火车食品（返）</t>
    <phoneticPr fontId="1" type="noConversion"/>
  </si>
  <si>
    <t>人均（元）</t>
    <phoneticPr fontId="1" type="noConversion"/>
  </si>
  <si>
    <t>人数</t>
    <phoneticPr fontId="1" type="noConversion"/>
  </si>
  <si>
    <t>天数</t>
    <phoneticPr fontId="1" type="noConversion"/>
  </si>
  <si>
    <t>徒步食品（全天）</t>
    <phoneticPr fontId="1" type="noConversion"/>
  </si>
  <si>
    <t>徒步食品（备用天）</t>
    <phoneticPr fontId="1" type="noConversion"/>
  </si>
  <si>
    <t>火车</t>
    <phoneticPr fontId="1" type="noConversion"/>
  </si>
  <si>
    <t>徒步</t>
    <phoneticPr fontId="1" type="noConversion"/>
  </si>
  <si>
    <t>成都食品（午）</t>
    <phoneticPr fontId="1" type="noConversion"/>
  </si>
  <si>
    <t>项目</t>
    <phoneticPr fontId="1" type="noConversion"/>
  </si>
  <si>
    <t>支出（元）</t>
    <phoneticPr fontId="1" type="noConversion"/>
  </si>
  <si>
    <t>2021贡嘎科考食品预算表</t>
    <phoneticPr fontId="1" type="noConversion"/>
  </si>
  <si>
    <t>合计（元）</t>
    <phoneticPr fontId="1" type="noConversion"/>
  </si>
  <si>
    <t>20支</t>
    <phoneticPr fontId="1" type="noConversion"/>
  </si>
  <si>
    <t>32g*10支为9.9元</t>
    <phoneticPr fontId="1" type="noConversion"/>
  </si>
  <si>
    <t>不网购，卜蜂莲花</t>
    <phoneticPr fontId="1" type="noConversion"/>
  </si>
  <si>
    <t>需16袋；购入20袋，余4袋；库存6小包（20*6）</t>
    <phoneticPr fontId="1" type="noConversion"/>
  </si>
  <si>
    <t>需32支；购入20支，库存20支，余8支</t>
    <phoneticPr fontId="1" type="noConversion"/>
  </si>
  <si>
    <t>说明：
成都食品（午）为抵达成都日的午餐（前站+大部队）</t>
    <phoneticPr fontId="1" type="noConversion"/>
  </si>
  <si>
    <t>12g*20袋（混合口味）为33.8元</t>
    <phoneticPr fontId="1" type="noConversion"/>
  </si>
  <si>
    <t>蛋花汤（混合口味）</t>
    <phoneticPr fontId="1" type="noConversion"/>
  </si>
  <si>
    <t>需2*16*2袋；购入60袋，库存6袋，余2袋</t>
    <phoneticPr fontId="1" type="noConversion"/>
  </si>
  <si>
    <t>70g为1.8元</t>
    <phoneticPr fontId="1" type="noConversion"/>
  </si>
  <si>
    <t>560g</t>
    <phoneticPr fontId="1" type="noConversion"/>
  </si>
  <si>
    <t>每个帐篷1袋（70g），需4*2袋，购入8袋</t>
    <phoneticPr fontId="1" type="noConversion"/>
  </si>
  <si>
    <t>三岛豚骨拉面猪骨汤</t>
  </si>
  <si>
    <t>40g为2.13元（第一个40g为1.98元）</t>
    <phoneticPr fontId="1" type="noConversion"/>
  </si>
  <si>
    <t>320g</t>
    <phoneticPr fontId="1" type="noConversion"/>
  </si>
  <si>
    <t>每个帐篷2包（40*2g），购入8包</t>
    <phoneticPr fontId="1" type="noConversion"/>
  </si>
  <si>
    <t>120g*8包为9.9（满两件8折）</t>
    <phoneticPr fontId="1" type="noConversion"/>
  </si>
  <si>
    <t>6件48包</t>
    <phoneticPr fontId="1" type="noConversion"/>
  </si>
  <si>
    <t>天猫超市</t>
    <phoneticPr fontId="1" type="noConversion"/>
  </si>
  <si>
    <t>需1.5*16*2包；购入48包，库存2包，余2包</t>
    <phoneticPr fontId="1" type="noConversion"/>
  </si>
  <si>
    <t>蛋花汤为两份（12g*2），一个用于煮龙须面（每24g蛋花汤煮360g面），一个用于煮豆皮和干贝汤</t>
    <phoneticPr fontId="1" type="noConversion"/>
  </si>
  <si>
    <t>东北欧巴</t>
    <phoneticPr fontId="1" type="noConversion"/>
  </si>
  <si>
    <t xml:space="preserve">东北欧巴特产店 </t>
    <phoneticPr fontId="1" type="noConversion"/>
  </si>
  <si>
    <t>与D2合并；2500g5斤为10.98元</t>
    <phoneticPr fontId="1" type="noConversion"/>
  </si>
  <si>
    <t>已计入D1“豆皮”中</t>
    <phoneticPr fontId="1" type="noConversion"/>
  </si>
  <si>
    <t>斯麦儿食品</t>
    <phoneticPr fontId="1" type="noConversion"/>
  </si>
  <si>
    <t>已计入D1“干贝”中</t>
    <phoneticPr fontId="1" type="noConversion"/>
  </si>
  <si>
    <t>与D2合并；250g为49.9元</t>
    <phoneticPr fontId="1" type="noConversion"/>
  </si>
  <si>
    <t>750g</t>
    <phoneticPr fontId="1" type="noConversion"/>
  </si>
  <si>
    <t>每个帐篷1包250g，购入3包（750g）</t>
    <phoneticPr fontId="1" type="noConversion"/>
  </si>
  <si>
    <t>好吃点杏仁香脆饼</t>
    <phoneticPr fontId="1" type="noConversion"/>
  </si>
  <si>
    <t>1700g约74包为36.8元</t>
    <phoneticPr fontId="1" type="noConversion"/>
  </si>
  <si>
    <t>1700g</t>
    <phoneticPr fontId="1" type="noConversion"/>
  </si>
  <si>
    <t>需2*16*2袋；购入74袋，余10袋</t>
    <phoneticPr fontId="1" type="noConversion"/>
  </si>
  <si>
    <t>深山里的小吃货</t>
    <phoneticPr fontId="1" type="noConversion"/>
  </si>
  <si>
    <t>库存已够</t>
    <phoneticPr fontId="1" type="noConversion"/>
  </si>
  <si>
    <t>库存750g</t>
    <phoneticPr fontId="1" type="noConversion"/>
  </si>
  <si>
    <t>每个帐篷（4人）2包（30g*2个），库存10包，余2包</t>
    <phoneticPr fontId="1" type="noConversion"/>
  </si>
  <si>
    <t>大烧饼（咸味）10个30元，6个20元</t>
    <phoneticPr fontId="1" type="noConversion"/>
  </si>
  <si>
    <t>16个</t>
    <phoneticPr fontId="1" type="noConversion"/>
  </si>
  <si>
    <t>山东美食特产店</t>
  </si>
  <si>
    <t>万年青鲜嫩菜心</t>
  </si>
  <si>
    <t>500g为13.5元</t>
    <phoneticPr fontId="1" type="noConversion"/>
  </si>
  <si>
    <t>粒仔记旗舰店</t>
    <phoneticPr fontId="1" type="noConversion"/>
  </si>
  <si>
    <t>尚健食品旗舰店</t>
  </si>
  <si>
    <t>1800g（15袋）为29.9元</t>
    <phoneticPr fontId="1" type="noConversion"/>
  </si>
  <si>
    <t>1800g</t>
    <phoneticPr fontId="1" type="noConversion"/>
  </si>
  <si>
    <t>需16*2袋；购入15，库存20袋，余3袋</t>
    <phoneticPr fontId="1" type="noConversion"/>
  </si>
  <si>
    <t>250g*2包为23.8元</t>
    <phoneticPr fontId="1" type="noConversion"/>
  </si>
  <si>
    <t>谷色食品专营店</t>
    <phoneticPr fontId="1" type="noConversion"/>
  </si>
  <si>
    <t>库存500g</t>
    <phoneticPr fontId="1" type="noConversion"/>
  </si>
  <si>
    <t>原味香菇酱</t>
    <phoneticPr fontId="1" type="noConversion"/>
  </si>
  <si>
    <t>16g*5袋为3元</t>
    <phoneticPr fontId="1" type="noConversion"/>
  </si>
  <si>
    <t>5袋</t>
    <phoneticPr fontId="1" type="noConversion"/>
  </si>
  <si>
    <t>需16*2袋；购入5，库存30，余3袋</t>
    <phoneticPr fontId="1" type="noConversion"/>
  </si>
  <si>
    <t>五香小腿</t>
    <phoneticPr fontId="1" type="noConversion"/>
  </si>
  <si>
    <t>30个为44.9元，5个为9.8元</t>
    <phoneticPr fontId="1" type="noConversion"/>
  </si>
  <si>
    <t>35个</t>
    <phoneticPr fontId="1" type="noConversion"/>
  </si>
  <si>
    <t>需16*2个；购入35个，库存6个，余9个</t>
    <phoneticPr fontId="1" type="noConversion"/>
  </si>
  <si>
    <t xml:space="preserve">爱良食品 </t>
  </si>
  <si>
    <t>咸点</t>
    <phoneticPr fontId="1" type="noConversion"/>
  </si>
  <si>
    <t>热饮
主食 咸</t>
    <phoneticPr fontId="1" type="noConversion"/>
  </si>
  <si>
    <t>主食 甜</t>
    <phoneticPr fontId="1" type="noConversion"/>
  </si>
  <si>
    <t>配菜</t>
    <phoneticPr fontId="1" type="noConversion"/>
  </si>
  <si>
    <t>汤</t>
    <phoneticPr fontId="1" type="noConversion"/>
  </si>
  <si>
    <t>热饮 甜</t>
    <phoneticPr fontId="1" type="noConversion"/>
  </si>
  <si>
    <t>红糖姜茶</t>
    <phoneticPr fontId="1" type="noConversion"/>
  </si>
  <si>
    <t>约20g</t>
    <phoneticPr fontId="1" type="noConversion"/>
  </si>
  <si>
    <t>1600g（约80小包）为39.9元</t>
    <phoneticPr fontId="1" type="noConversion"/>
  </si>
  <si>
    <t>1600g</t>
    <phoneticPr fontId="1" type="noConversion"/>
  </si>
  <si>
    <t>集体食品：够80次，约16人5天；每个帐篷20小包</t>
    <phoneticPr fontId="1" type="noConversion"/>
  </si>
  <si>
    <t>100粒</t>
    <phoneticPr fontId="1" type="noConversion"/>
  </si>
  <si>
    <t>京东：跑能运动户外</t>
    <phoneticPr fontId="1" type="noConversion"/>
  </si>
  <si>
    <t>维生素电解质泡腾片（西柚味）</t>
    <phoneticPr fontId="1" type="noConversion"/>
  </si>
  <si>
    <t>总计（元/人/天）</t>
    <phoneticPr fontId="1" type="noConversion"/>
  </si>
  <si>
    <t>运动固体饮料（复合梅子味）</t>
  </si>
  <si>
    <t>运动固体饮料（复合梅子味）</t>
    <phoneticPr fontId="1" type="noConversion"/>
  </si>
  <si>
    <t>赞助；30g1袋8元</t>
    <phoneticPr fontId="1" type="noConversion"/>
  </si>
  <si>
    <t>赞助；5管50粒100元</t>
    <phoneticPr fontId="1" type="noConversion"/>
  </si>
  <si>
    <t>112袋</t>
    <phoneticPr fontId="1" type="noConversion"/>
  </si>
  <si>
    <t>集体食品：够100次，约16人每人每天1粒共6天</t>
    <phoneticPr fontId="1" type="noConversion"/>
  </si>
  <si>
    <t>集体食品：够112次，约16人每人每天1袋共7天</t>
    <phoneticPr fontId="1" type="noConversion"/>
  </si>
  <si>
    <t>篱胧物语旗舰店</t>
    <phoneticPr fontId="1" type="noConversion"/>
  </si>
  <si>
    <t>能量（大卡）/人</t>
    <phoneticPr fontId="1" type="noConversion"/>
  </si>
  <si>
    <t>能量KJ/100g</t>
    <phoneticPr fontId="1" type="noConversion"/>
  </si>
  <si>
    <t>蛋白质g/人</t>
    <phoneticPr fontId="1" type="noConversion"/>
  </si>
  <si>
    <t>蛋白质g/100g</t>
    <phoneticPr fontId="1" type="noConversion"/>
  </si>
  <si>
    <t>阿恋</t>
    <phoneticPr fontId="1" type="noConversion"/>
  </si>
  <si>
    <t>颜二爷零食店</t>
    <phoneticPr fontId="1" type="noConversion"/>
  </si>
  <si>
    <t>弘基农业官方自营</t>
    <phoneticPr fontId="1" type="noConversion"/>
  </si>
  <si>
    <t>海带丝（野山椒）</t>
    <phoneticPr fontId="1" type="noConversion"/>
  </si>
  <si>
    <t>斯麦儿食品专营店</t>
    <phoneticPr fontId="1" type="noConversion"/>
  </si>
  <si>
    <t>乾盈食品专营店</t>
    <phoneticPr fontId="1" type="noConversion"/>
  </si>
  <si>
    <t>70g*10袋为19.9元</t>
    <phoneticPr fontId="1" type="noConversion"/>
  </si>
  <si>
    <t>700g</t>
    <phoneticPr fontId="1" type="noConversion"/>
  </si>
  <si>
    <t>需4*2袋（4*2*70g），购入10袋</t>
    <phoneticPr fontId="1" type="noConversion"/>
  </si>
  <si>
    <t>五香豆干1</t>
    <phoneticPr fontId="1" type="noConversion"/>
  </si>
  <si>
    <t>与L4、D3合并；60g*20袋为41.99元，60g*40袋为64.99元</t>
    <phoneticPr fontId="1" type="noConversion"/>
  </si>
  <si>
    <t>已计入L1中</t>
    <phoneticPr fontId="1" type="noConversion"/>
  </si>
  <si>
    <t>100袋</t>
    <phoneticPr fontId="1" type="noConversion"/>
  </si>
  <si>
    <t>需16*6袋，购入100袋，库存4袋</t>
    <phoneticPr fontId="1" type="noConversion"/>
  </si>
  <si>
    <t>其他</t>
    <phoneticPr fontId="1" type="noConversion"/>
  </si>
  <si>
    <t>能量棒（沙琪玛）</t>
    <phoneticPr fontId="1" type="noConversion"/>
  </si>
  <si>
    <t>赞助；1盒10支</t>
    <phoneticPr fontId="1" type="noConversion"/>
  </si>
  <si>
    <t>120支</t>
    <phoneticPr fontId="1" type="noConversion"/>
  </si>
  <si>
    <r>
      <t>1支</t>
    </r>
    <r>
      <rPr>
        <sz val="9"/>
        <color theme="1"/>
        <rFont val="思源黑体 CN Light"/>
        <family val="2"/>
        <charset val="128"/>
      </rPr>
      <t>（35g）</t>
    </r>
    <phoneticPr fontId="1" type="noConversion"/>
  </si>
  <si>
    <t>桂格即食燕麦片</t>
  </si>
  <si>
    <t>与B2合并；1kg为15.9，2kg为29.9</t>
    <phoneticPr fontId="1" type="noConversion"/>
  </si>
  <si>
    <t>3kg</t>
    <phoneticPr fontId="1" type="noConversion"/>
  </si>
  <si>
    <t>已计入B1“桂格即食燕麦片”中</t>
    <phoneticPr fontId="1" type="noConversion"/>
  </si>
  <si>
    <t>320g*2为32.8元</t>
    <phoneticPr fontId="1" type="noConversion"/>
  </si>
  <si>
    <t>640g</t>
    <phoneticPr fontId="1" type="noConversion"/>
  </si>
  <si>
    <t>需16*2*2包，赞助约3袋（60包），库存20包</t>
    <phoneticPr fontId="1" type="noConversion"/>
  </si>
  <si>
    <t>豆皮</t>
    <phoneticPr fontId="1" type="noConversion"/>
  </si>
  <si>
    <t xml:space="preserve">东北欧巴特产店 </t>
  </si>
  <si>
    <t>60g*20袋为41.99元，60g*40袋为64.99元</t>
    <phoneticPr fontId="1" type="noConversion"/>
  </si>
  <si>
    <t>1500g3斤为7.9元</t>
    <phoneticPr fontId="1" type="noConversion"/>
  </si>
  <si>
    <t>800g（约34个）为16.8元，1600（约68个）为33.9元</t>
    <phoneticPr fontId="1" type="noConversion"/>
  </si>
  <si>
    <t>需16*2*2个，购入约68个，余4个</t>
    <phoneticPr fontId="1" type="noConversion"/>
  </si>
  <si>
    <t>BI*2</t>
    <phoneticPr fontId="1" type="noConversion"/>
  </si>
  <si>
    <t>蛋白质（g）</t>
    <phoneticPr fontId="1" type="noConversion"/>
  </si>
  <si>
    <t>B2*1</t>
    <phoneticPr fontId="1" type="noConversion"/>
  </si>
  <si>
    <r>
      <t>B3*2</t>
    </r>
    <r>
      <rPr>
        <sz val="9"/>
        <color theme="1"/>
        <rFont val="思源黑体 CN Light"/>
        <family val="2"/>
        <charset val="128"/>
      </rPr>
      <t>（备1）</t>
    </r>
    <phoneticPr fontId="1" type="noConversion"/>
  </si>
  <si>
    <t>L1*2</t>
    <phoneticPr fontId="1" type="noConversion"/>
  </si>
  <si>
    <t>L2*2</t>
    <phoneticPr fontId="1" type="noConversion"/>
  </si>
  <si>
    <t>L3*1</t>
    <phoneticPr fontId="1" type="noConversion"/>
  </si>
  <si>
    <r>
      <rPr>
        <sz val="11"/>
        <color theme="1"/>
        <rFont val="思源黑体 CN Light"/>
        <family val="2"/>
        <charset val="128"/>
      </rPr>
      <t>L4*2</t>
    </r>
    <r>
      <rPr>
        <sz val="9"/>
        <color theme="1"/>
        <rFont val="思源黑体 CN Light"/>
        <family val="2"/>
        <charset val="128"/>
      </rPr>
      <t>（备1）</t>
    </r>
    <phoneticPr fontId="1" type="noConversion"/>
  </si>
  <si>
    <t>D1*2</t>
    <phoneticPr fontId="1" type="noConversion"/>
  </si>
  <si>
    <t>D2*1</t>
    <phoneticPr fontId="1" type="noConversion"/>
  </si>
  <si>
    <r>
      <t>D3*2</t>
    </r>
    <r>
      <rPr>
        <sz val="9"/>
        <color theme="1"/>
        <rFont val="思源黑体 CN Light"/>
        <family val="2"/>
        <charset val="128"/>
      </rPr>
      <t>（备1）</t>
    </r>
    <phoneticPr fontId="1" type="noConversion"/>
  </si>
  <si>
    <t>备用</t>
    <phoneticPr fontId="1" type="noConversion"/>
  </si>
  <si>
    <t>B3+L4+D3</t>
    <phoneticPr fontId="1" type="noConversion"/>
  </si>
  <si>
    <t>B1+L2+D3</t>
    <phoneticPr fontId="1" type="noConversion"/>
  </si>
  <si>
    <t>B3+L1+D1</t>
    <phoneticPr fontId="1" type="noConversion"/>
  </si>
  <si>
    <t>B2+L1+D2</t>
    <phoneticPr fontId="1" type="noConversion"/>
  </si>
  <si>
    <t>B1+L2</t>
    <phoneticPr fontId="1" type="noConversion"/>
  </si>
  <si>
    <t>L3+D1</t>
    <phoneticPr fontId="1" type="noConversion"/>
  </si>
  <si>
    <t>L4</t>
    <phoneticPr fontId="1" type="noConversion"/>
  </si>
  <si>
    <t>豆奶，有馍片</t>
    <phoneticPr fontId="1" type="noConversion"/>
  </si>
  <si>
    <t>豆浆，无馍片</t>
    <phoneticPr fontId="1" type="noConversion"/>
  </si>
  <si>
    <t>有馍丁</t>
    <phoneticPr fontId="1" type="noConversion"/>
  </si>
  <si>
    <t>无馍丁</t>
    <phoneticPr fontId="1" type="noConversion"/>
  </si>
  <si>
    <r>
      <t>能量</t>
    </r>
    <r>
      <rPr>
        <sz val="9"/>
        <color theme="1"/>
        <rFont val="思源黑体 CN Medium"/>
        <family val="2"/>
        <charset val="128"/>
      </rPr>
      <t>（大卡）</t>
    </r>
    <phoneticPr fontId="1" type="noConversion"/>
  </si>
  <si>
    <t>搭配</t>
    <phoneticPr fontId="1" type="noConversion"/>
  </si>
  <si>
    <t>老榆林/成都</t>
    <phoneticPr fontId="1" type="noConversion"/>
  </si>
  <si>
    <r>
      <t>蛋白质</t>
    </r>
    <r>
      <rPr>
        <sz val="9"/>
        <color theme="1"/>
        <rFont val="思源黑体 CN Medium"/>
        <family val="2"/>
        <charset val="128"/>
      </rPr>
      <t>（g）</t>
    </r>
  </si>
  <si>
    <t>40袋</t>
    <phoneticPr fontId="1" type="noConversion"/>
  </si>
  <si>
    <t>需16*2袋；购入40袋，库存4袋，余12袋</t>
    <phoneticPr fontId="1" type="noConversion"/>
  </si>
  <si>
    <t>需16*3小包；购入50包，库存7包，剩9包</t>
    <phoneticPr fontId="1" type="noConversion"/>
  </si>
  <si>
    <t>与D3合并；30g*20袋为21.8元，*30袋为29.8元</t>
    <phoneticPr fontId="1" type="noConversion"/>
  </si>
  <si>
    <r>
      <t>价格</t>
    </r>
    <r>
      <rPr>
        <b/>
        <sz val="9"/>
        <color theme="1"/>
        <rFont val="思源黑体 CN Medium"/>
        <family val="2"/>
        <charset val="128"/>
      </rPr>
      <t>（元）</t>
    </r>
    <phoneticPr fontId="1" type="noConversion"/>
  </si>
  <si>
    <t>米饭，有豆浆</t>
    <phoneticPr fontId="1" type="noConversion"/>
  </si>
  <si>
    <t>健身牛肉</t>
    <phoneticPr fontId="1" type="noConversion"/>
  </si>
  <si>
    <t>阿恋</t>
    <phoneticPr fontId="1" type="noConversion"/>
  </si>
  <si>
    <t>赞助商</t>
    <phoneticPr fontId="1" type="noConversion"/>
  </si>
  <si>
    <t>需求量</t>
    <phoneticPr fontId="1" type="noConversion"/>
  </si>
  <si>
    <t>总价（元）</t>
    <phoneticPr fontId="1" type="noConversion"/>
  </si>
  <si>
    <t>包装含量及对应价格</t>
    <phoneticPr fontId="1" type="noConversion"/>
  </si>
  <si>
    <t>京东：2盒10管100粒为180元</t>
    <phoneticPr fontId="1" type="noConversion"/>
  </si>
  <si>
    <t>100粒</t>
    <phoneticPr fontId="1" type="noConversion"/>
  </si>
  <si>
    <t>维生素电解质泡腾片（西柚味）</t>
    <phoneticPr fontId="1" type="noConversion"/>
  </si>
  <si>
    <t>京东：5袋（300g*5）为260元</t>
    <phoneticPr fontId="1" type="noConversion"/>
  </si>
  <si>
    <t>火车食品：往返两程，每人每程75g（1/4袋），合计2400g8袋（16人*75g*2程）；购入剩余的2袋给前站在成都的两天吃</t>
    <phoneticPr fontId="1" type="noConversion"/>
  </si>
  <si>
    <t>10袋</t>
    <phoneticPr fontId="1" type="noConversion"/>
  </si>
  <si>
    <t>大众能量棒（沙琪玛型）</t>
  </si>
  <si>
    <t>京东：5盒50支为140元,2盒20支为55元</t>
    <phoneticPr fontId="1" type="noConversion"/>
  </si>
  <si>
    <t>120支</t>
    <phoneticPr fontId="1" type="noConversion"/>
  </si>
  <si>
    <t>京东：50支为300元,20支为150元</t>
  </si>
  <si>
    <t>行动食品：每支30g，每人每天1支，共7天（含1天备用），即112支；余8支</t>
    <phoneticPr fontId="1" type="noConversion"/>
  </si>
  <si>
    <t>行动食品：每支35g，每人每天1支，共7天（含1天备用），即112支；余8支</t>
    <phoneticPr fontId="1" type="noConversion"/>
  </si>
  <si>
    <t>集体食品：100粒，约16人每人每天1粒共6天</t>
    <phoneticPr fontId="1" type="noConversion"/>
  </si>
  <si>
    <t>跑能运动户外专营店</t>
    <phoneticPr fontId="1" type="noConversion"/>
  </si>
  <si>
    <t>风干牛肉</t>
    <phoneticPr fontId="1" type="noConversion"/>
  </si>
  <si>
    <t>徒步食品：每人每天75g（早15g、午/晚30g），5早7午5晚（均含1备用），即6960g，约14斤</t>
    <phoneticPr fontId="1" type="noConversion"/>
  </si>
  <si>
    <t>14斤</t>
    <phoneticPr fontId="1" type="noConversion"/>
  </si>
  <si>
    <t>淘宝：458g1袋为148元（满145减8元）</t>
    <phoneticPr fontId="1" type="noConversion"/>
  </si>
  <si>
    <t>约2140</t>
    <phoneticPr fontId="1" type="noConversion"/>
  </si>
  <si>
    <t>淘宝：1袋（20g*20包）为28元</t>
    <phoneticPr fontId="1" type="noConversion"/>
  </si>
  <si>
    <t>徒步食品：B3类早餐共两顿（含一顿备用），每人每餐2袋，即64袋（楼顶有20包为上次未成行的香山野营买的其他牌子的咸奶茶）</t>
    <phoneticPr fontId="1" type="noConversion"/>
  </si>
  <si>
    <t>3袋</t>
    <phoneticPr fontId="1" type="noConversion"/>
  </si>
  <si>
    <t>约2224</t>
    <phoneticPr fontId="1" type="noConversion"/>
  </si>
  <si>
    <t>D0</t>
    <phoneticPr fontId="1" type="noConversion"/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</si>
  <si>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</si>
  <si>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</si>
  <si>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</si>
  <si>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</si>
  <si>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</si>
  <si>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</si>
  <si>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</si>
  <si>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</si>
  <si>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</si>
  <si>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</si>
  <si>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冷嘎措客栈</t>
    <phoneticPr fontId="1" type="noConversion"/>
  </si>
  <si>
    <t>中子梅村</t>
    <phoneticPr fontId="1" type="noConversion"/>
  </si>
  <si>
    <t>徒步食品：“晚餐+次日早餐”为一组，每组每个帐篷（4人）一袋300g；共五组“晚餐+次日早餐”（含一组备用），4个帐篷，即需要5*4=20袋</t>
    <phoneticPr fontId="1" type="noConversion"/>
  </si>
  <si>
    <t>20袋</t>
    <phoneticPr fontId="1" type="noConversion"/>
  </si>
  <si>
    <t>行动食品：每支30g，每人每天1支，共7天（含1天备用），即112支；购入120支，余8支</t>
    <phoneticPr fontId="1" type="noConversion"/>
  </si>
  <si>
    <t>行动食品：每支35g，每人每天1支，共7天（含1天备用），即112支；购入120支，余8支</t>
    <phoneticPr fontId="1" type="noConversion"/>
  </si>
  <si>
    <t>徒步食品：每人每天中午15g，7顿午餐（含1顿备用），即1680g，要4袋（458g*4=1832g＞1680g）</t>
    <phoneticPr fontId="1" type="noConversion"/>
  </si>
  <si>
    <t>4袋</t>
    <phoneticPr fontId="1" type="noConversion"/>
  </si>
  <si>
    <t>徒步食品：B3类早餐共两顿（含一顿备用），每人每餐2包，即64包；购入3袋60包，另外4包可以用楼顶库存替代（楼顶有20包为上次未成行的香山野营买的其他牌子的咸奶茶）</t>
    <phoneticPr fontId="1" type="noConversion"/>
  </si>
  <si>
    <t>集体食品：100粒（可供16人每人每天使用1粒，使用6天）</t>
    <phoneticPr fontId="1" type="noConversion"/>
  </si>
  <si>
    <t>【说明】关于肉量：之前博格达是75g/人/天（早15g+午30g+晚30g）；现在我们是“早+晚 共75g/人/天”，所以午餐配成了15g；如果还是按照30g/人/午餐的话，需要16*30*7=3360g，需要8袋（458g*8=3664g），当然30g/人/午餐的话也可以认为是给行动食品多了15g</t>
    <phoneticPr fontId="1" type="noConversion"/>
  </si>
  <si>
    <t>蛋黄酱</t>
    <phoneticPr fontId="1" type="noConversion"/>
  </si>
  <si>
    <t>4瓶</t>
    <phoneticPr fontId="1" type="noConversion"/>
  </si>
  <si>
    <t>需32支；购入20支，库存20（-5）支，余3支</t>
    <phoneticPr fontId="1" type="noConversion"/>
  </si>
  <si>
    <t>与D3合并；30g*20袋为21.8元，30g*30袋为29.8元</t>
    <phoneticPr fontId="1" type="noConversion"/>
  </si>
  <si>
    <t>每顿16人用1kg，每个帐篷250g；共3顿,12个分装袋</t>
    <phoneticPr fontId="1" type="noConversion"/>
  </si>
  <si>
    <t>每顿16人用640g，每个帐篷160g；共1顿，4个分装袋</t>
    <phoneticPr fontId="1" type="noConversion"/>
  </si>
  <si>
    <t>需16*（1+2*2）个，购入约83个，库存4个，余7个</t>
    <phoneticPr fontId="1" type="noConversion"/>
  </si>
  <si>
    <t>需64（每人4）个，购入约66个，库存6个，余8个</t>
  </si>
  <si>
    <t>需16*2*2包，赞助；此外库存18包左右</t>
    <phoneticPr fontId="1" type="noConversion"/>
  </si>
  <si>
    <t>每顿16人1500g，每个帐篷375g；共2顿，8个分装袋</t>
    <phoneticPr fontId="1" type="noConversion"/>
  </si>
  <si>
    <t>需16*3个，购入48个</t>
    <phoneticPr fontId="1" type="noConversion"/>
  </si>
  <si>
    <t>需16*2小包，购入约32小包，库存6包，余6包</t>
    <phoneticPr fontId="1" type="noConversion"/>
  </si>
  <si>
    <t>与L3合并；2kg为38.8元,400g为8.9元，50g一包</t>
    <phoneticPr fontId="1" type="noConversion"/>
  </si>
  <si>
    <t>与L1、L3合并；2500g五斤（一斤17-18包）为72元</t>
    <phoneticPr fontId="1" type="noConversion"/>
  </si>
  <si>
    <t>需16*5个，购入85~90个，余3~6个</t>
    <phoneticPr fontId="1" type="noConversion"/>
  </si>
  <si>
    <t>需16*2个，购入约34个，库存10个，余12个</t>
  </si>
  <si>
    <t>每顿16人500g，每个帐篷125g；共2顿，8个分装袋</t>
    <phoneticPr fontId="1" type="noConversion"/>
  </si>
  <si>
    <t>需16个，购入16个</t>
    <phoneticPr fontId="1" type="noConversion"/>
  </si>
  <si>
    <t>需16袋；购入20袋，库存6小包（20*6），余10袋</t>
    <phoneticPr fontId="1" type="noConversion"/>
  </si>
  <si>
    <t>需16*2个，购入32个</t>
    <phoneticPr fontId="1" type="noConversion"/>
  </si>
  <si>
    <t>D1两顿每个帐篷220g，8个分装袋；D2一顿每个帐篷180g</t>
    <phoneticPr fontId="1" type="noConversion"/>
  </si>
  <si>
    <t>每顿16人250g，每个帐篷62.5g；共三顿，12个分装袋</t>
    <phoneticPr fontId="1" type="noConversion"/>
  </si>
  <si>
    <t>需4*2袋（4*2*70g），购入10袋，余2袋</t>
    <phoneticPr fontId="1" type="noConversion"/>
  </si>
  <si>
    <t>库存约720g，每个帐篷180g，4个分装袋</t>
    <phoneticPr fontId="1" type="noConversion"/>
  </si>
  <si>
    <t>每个帐篷（4人）2包（30g*2个），库存9包，余1包</t>
    <phoneticPr fontId="1" type="noConversion"/>
  </si>
  <si>
    <t>不要分装，当顿饭临时拆开</t>
    <phoneticPr fontId="1" type="noConversion"/>
  </si>
  <si>
    <t>每个帐篷125g，4个分装袋</t>
    <phoneticPr fontId="1" type="noConversion"/>
  </si>
  <si>
    <t>需16*2袋；购入15，库存约18袋，余1袋</t>
    <phoneticPr fontId="1" type="noConversion"/>
  </si>
  <si>
    <t>需1000g（每顿16人500g 两顿），库存500g；8个分装袋</t>
    <phoneticPr fontId="1" type="noConversion"/>
  </si>
  <si>
    <t>需16袋；库存29，余13袋</t>
    <phoneticPr fontId="1" type="noConversion"/>
  </si>
  <si>
    <t>每个帐篷一瓶（即每个帐篷吃两顿160g，平均20g/人/顿）</t>
    <phoneticPr fontId="1" type="noConversion"/>
  </si>
  <si>
    <t>每顿16人750g，每个帐篷187g/顿；两顿，8个分装袋</t>
    <phoneticPr fontId="1" type="noConversion"/>
  </si>
  <si>
    <t>与D2、D3合并；250g为49.9元</t>
    <phoneticPr fontId="1" type="noConversion"/>
  </si>
  <si>
    <t>1250g</t>
    <phoneticPr fontId="1" type="noConversion"/>
  </si>
  <si>
    <t>已计入D1“干贝”中</t>
    <phoneticPr fontId="1" type="noConversion"/>
  </si>
  <si>
    <t>已计入B2“原味豆浆粉”中</t>
    <phoneticPr fontId="1" type="noConversion"/>
  </si>
  <si>
    <t>库存约28包，每个帐篷7包，自行食用</t>
    <phoneticPr fontId="1" type="noConversion"/>
  </si>
  <si>
    <t>需560，新买入约428（118+240+70），库存160（陈皮糖74+水果硬糖88）；每人12水果、19陈皮、4黑糖</t>
    <phoneticPr fontId="1" type="noConversion"/>
  </si>
  <si>
    <t>品芙旗舰店</t>
    <phoneticPr fontId="1" type="noConversion"/>
  </si>
  <si>
    <t>120g*50包为61.9元</t>
    <phoneticPr fontId="1" type="noConversion"/>
  </si>
  <si>
    <t>50包</t>
    <phoneticPr fontId="1" type="noConversion"/>
  </si>
  <si>
    <t>需1.5*16*2包；购入50包，库存2包，余4包</t>
    <phoneticPr fontId="1" type="noConversion"/>
  </si>
  <si>
    <t>160g（1瓶）为23.8元（满2件7.5折）</t>
    <phoneticPr fontId="1" type="noConversion"/>
  </si>
  <si>
    <t>海带片（卤香味）</t>
    <phoneticPr fontId="1" type="noConversion"/>
  </si>
  <si>
    <t>梓琪梓彤食品</t>
    <phoneticPr fontId="1" type="noConversion"/>
  </si>
  <si>
    <t>38g*10袋为13.8元</t>
  </si>
  <si>
    <t>每个帐篷2袋（38g*2），两顿，需2*4*2袋，购入20袋</t>
    <phoneticPr fontId="1" type="noConversion"/>
  </si>
  <si>
    <t>冲泡米饭+芝麻海苔碎+香菇酱/蛋黄酱+海带片+豆皮+干贝；
豆浆泡蜜豆</t>
    <phoneticPr fontId="1" type="noConversion"/>
  </si>
  <si>
    <t>豆浆粉泡谷物圈（包括紫薯山药圈、黑米红枣圈、燕麦圈、山药玉米脆片）和麦片</t>
    <phoneticPr fontId="1" type="noConversion"/>
  </si>
  <si>
    <t>链接</t>
    <phoneticPr fontId="1" type="noConversion"/>
  </si>
  <si>
    <t>https://detail.tmall.com/item.htm?spm=a1z10.3-b-s.w4011-15197494795.53.2ba75fd5v1TpPn&amp;id=577635437044&amp;rn=9715f2ca7a08e6a68a08ea2438e8f612&amp;abbucket=2</t>
  </si>
  <si>
    <t>https://detail.tmall.com/item.htm?spm=a1z10.3-b-s.w4011-15197494795.46.1d1d5fd51eqtj4&amp;id=599357401619&amp;rn=8ec56983b1c294e4ad4c99760e07a277&amp;abbucket=2&amp;skuId=4184978829659</t>
  </si>
  <si>
    <t>https://detail.tmall.com/item.htm?spm=a1z10.3-b-s.w4011-22251070879.38.27aa726edq4qxV&amp;id=625214183872&amp;rn=94f95eb878fb2ccb0f6a0b6492d941ec&amp;abbucket=2</t>
  </si>
  <si>
    <t>https://detail.tmall.com/item.htm?spm=a1z10.3-b-s.w4011-14453824560.44.1bee3c85s9cnCa&amp;id=597910937735&amp;rn=1360b31ccc20d754ef9e86e3182510f2&amp;abbucket=2</t>
  </si>
  <si>
    <t>https://detail.tmall.com/item.htm?spm=a1z0d.6639537.1997196601.227.7ee87484CoF1zZ&amp;id=626244054331</t>
  </si>
  <si>
    <t>https://detail.tmall.com/item.htm?spm=a1z10.3-b-s.w4011-15197494795.58.48c45fd5CD1QSe&amp;id=615778384494&amp;rn=8bb9d5c28d72a359145fe18673fd9213&amp;abbucket=2</t>
    <phoneticPr fontId="1" type="noConversion"/>
  </si>
  <si>
    <t>https://item.taobao.com/item.htm?spm=a1z0d.6639537.1997196601.47.7ee87484CoF1zZ&amp;id=577782625118</t>
  </si>
  <si>
    <t>https://detail.tmall.com/item.htm?spm=a1z10.3-b-s.w4011-15197494795.38.6a8e5fd56DnW3Q&amp;id=618945339363&amp;rn=673d23dd3337eed6c13ea3e4172d04e3&amp;abbucket=2</t>
  </si>
  <si>
    <t>https://detail.tmall.com/item.htm?spm=a1z10.3-b-s.w4011-15197494795.44.decd5fd5QvaNzs&amp;id=606082837046&amp;rn=8e9ac02ba918789a60a1db9a760e407b&amp;abbucket=2</t>
  </si>
  <si>
    <t>https://detail.tmall.com/item.htm?spm=a1z10.3-b-s.w4011-15197494795.43.1d1d5fd51eqtj4&amp;id=599125304015&amp;rn=8ec56983b1c294e4ad4c99760e07a277&amp;abbucket=2&amp;skuId=4437943528866</t>
    <phoneticPr fontId="1" type="noConversion"/>
  </si>
  <si>
    <t>https://detail.tmall.com/item.htm?spm=a1z10.3-b-s.w4011-15197494795.39.5c415fd5Xtdc4e&amp;id=631664188024&amp;rn=7d2d464229f293f6992d79a0e1b1ae19&amp;abbucket=2</t>
  </si>
  <si>
    <t>https://detail.tmall.com/item.htm?spm=a1z0d.6639537.1997196601.262.7ee87484CoF1zZ&amp;id=577050283456</t>
    <phoneticPr fontId="1" type="noConversion"/>
  </si>
  <si>
    <t>https://item.taobao.com/item.htm?spm=a230r.7195193.1997079397.11.6aed718ebRrEx6&amp;id=586412792046&amp;abbucket=18</t>
    <phoneticPr fontId="1" type="noConversion"/>
  </si>
  <si>
    <t>https://detail.tmall.com/item.htm?spm=a1z10.1-b-s.w4004-16459750448.9.2b876142rEbeh1&amp;pvid=76c1bc9a-4e22-4e22-a254-6f80a906e577&amp;pos=4&amp;acm=03068.1003.1.702815&amp;id=576148466933&amp;scm=1007.12941.156882.100200300000000</t>
  </si>
  <si>
    <t>https://detail.tmall.com/item.htm?spm=a1z10.3-b-s.w4011-15197494795.44.22615fd51Liyyy&amp;id=610156691616&amp;rn=b5ad0aa3b2c4e9e2d89ddf433f71dc27&amp;abbucket=2</t>
  </si>
  <si>
    <t>https://detail.tmall.com/item.htm?spm=a1z10.3-b-s.w4011-15197494795.43.616e5fd55Mfxyv&amp;id=607099440013&amp;rn=57d2184a201400c28fac0184b7b5c829&amp;abbucket=2</t>
  </si>
  <si>
    <t>https://detail.tmall.com/item.htm?spm=a1z10.3-b-s.w4011-15457311869.34.1348748aHtaG59&amp;id=627121049840&amp;rn=6995a1b633a485ed582e5cacd18e3c9c&amp;abbucket=2</t>
  </si>
  <si>
    <t>https://detail.tmall.com/item.htm?spm=a1z10.3-b-s.w4011-15197494795.39.54725fd5CgBUOW&amp;id=610592431815&amp;rn=586f726923196e2c54d18d4c689cecf2&amp;abbucket=2</t>
    <phoneticPr fontId="1" type="noConversion"/>
  </si>
  <si>
    <t>https://item.taobao.com/item.htm?spm=a230r.7195193.1997079397.10.1ab0737er5o3LP&amp;id=574529020011&amp;abbucket=18</t>
  </si>
  <si>
    <t>https://detail.tmall.com/item.htm?id=631836386751&amp;spm=a1z09.2.0.0.16c12e8dUpSq4g&amp;_u=2n2or0s2d0a&amp;skuId=4500147668869</t>
    <phoneticPr fontId="1" type="noConversion"/>
  </si>
  <si>
    <t>https://detail.tmall.com/item.htm?spm=a220o.1000855.0.0.9b2a3003ihkbju&amp;pvid=e941d8ff-9401-4537-9dec-1272b3911ce5&amp;pos=8&amp;acm=03194.1003.1.1288497&amp;id=534401261584&amp;scm=1007.12875.82860.100200300000000</t>
  </si>
  <si>
    <t>https://detail.tmall.com/item.htm?spm=a1z10.3-b-s.w4011-15457311869.36.1348748aHtaG59&amp;id=627495130656&amp;rn=6995a1b633a485ed582e5cacd18e3c9c&amp;abbucket=2</t>
  </si>
  <si>
    <t>https://detail.tmall.com/item.htm?spm=a1z10.3-b-s.w4011-15197494795.41.5a3d5fd5f8fJU5&amp;id=619624775609&amp;rn=dd2ac89185bae2b51f71d406aab72451&amp;abbucket=2</t>
  </si>
  <si>
    <t>https://item.taobao.com/item.htm?spm=a1z0d.6639537.1997196601.69.7ee87484CoF1zZ&amp;id=38443966779</t>
  </si>
  <si>
    <t>https://detail.tmall.com/item.htm?spm=a1z0d.6639537.1997196601.503.7ee87484CoF1zZ&amp;id=549792575840</t>
  </si>
  <si>
    <t>https://detail.tmall.com/item.htm?spm=a1z0d.6639537.1997196601.511.7ee87484CoF1zZ&amp;id=615843572093</t>
    <phoneticPr fontId="1" type="noConversion"/>
  </si>
  <si>
    <t>https://detail.tmall.com/item.htm?id=564397423221&amp;spm=a1z09.2.0.0.185a2e8dnZdIn2&amp;_u=1n2or0s9e3c</t>
    <phoneticPr fontId="1" type="noConversion"/>
  </si>
  <si>
    <t>https://detail.tmall.com/item.htm?spm=a1z0d.6639537.1997196601.4.7ee87484CoF1zZ&amp;id=614211467343</t>
    <phoneticPr fontId="1" type="noConversion"/>
  </si>
  <si>
    <t>https://item.taobao.com/item.htm?spm=a1z0d.6639537.1997196601.520.7ee87484CoF1zZ&amp;id=629530715538</t>
    <phoneticPr fontId="1" type="noConversion"/>
  </si>
  <si>
    <t>https://item.taobao.com/item.htm?spm=a1z0d.6639537.1997196601.36.39cc7484qdPW97&amp;id=549981677942</t>
    <phoneticPr fontId="1" type="noConversion"/>
  </si>
  <si>
    <t>https://item.taobao.com/item.htm?spm=a1z0d.6639537.1997196601.46.39cc7484qdPW97&amp;id=20499215324</t>
  </si>
  <si>
    <t>https://detail.tmall.com/item.htm?spm=a1z0d.6639537.1997196601.25.39cc7484qdPW97&amp;id=633316632831</t>
  </si>
  <si>
    <t>https://item.taobao.com/item.htm?spm=a1z0d.6639537.1997196601.66.39cc7484qdPW97&amp;id=594619396316</t>
  </si>
  <si>
    <t>https://item.taobao.com/item.htm?spm=a1z0d.6639537.1997196601.58.39cc7484qdPW97&amp;id=632266479096</t>
    <phoneticPr fontId="1" type="noConversion"/>
  </si>
  <si>
    <t>https://detail.tmall.com/item.htm?spm=a1z0d.6639537.1997196601.273.7ee87484CoF1zZ&amp;id=566911050851&amp;skuId=3771388367473</t>
  </si>
  <si>
    <t>https://detail.tmall.com/item.htm?spm=a1z0d.6639537.1997196601.284.7ee87484CoF1zZ&amp;id=534529891208</t>
  </si>
  <si>
    <t>https://detail.tmall.com/item.htm?spm=a220o.1000855.1998025129.2.1cd4b49152YCnl&amp;pvid=42c93e61-3475-41d1-aad9-a5e6fb770af9&amp;pos=1&amp;acm=03054.1003.1.2768562&amp;id=567345288070&amp;scm=1007.16862.95220.23864_0_0&amp;utparam=%7B%22x_hestia_source%22:%2223864%22,%22x_object_type%22:%22item%22,%22x_hestia_subsource%22:%22default%22,%22x_mt%22:0,%22x_src%22:%2223864%22,%22x_pos%22:1,%22wh_pid%22:-1,%22x_pvid%22:%2242c93e61-3475-41d1-aad9-a5e6fb770af9%22,%22scm%22:%221007.12144.95220.23864_0_0%22,%22x_object_id%22:567345288070%7D</t>
    <phoneticPr fontId="1" type="noConversion"/>
  </si>
  <si>
    <t>https://detail.tmall.com/item.htm?spm=a1z0d.6639537.1997196601.295.7ee87484CoF1zZ&amp;id=553997874122</t>
    <phoneticPr fontId="1" type="noConversion"/>
  </si>
  <si>
    <t>https://detail.tmall.com/item.htm?spm=a1z10.3-b-s.w4011-22948280440.47.d10629a6JLuAKZ&amp;id=42595204236&amp;rn=42d5c541d30199e20e0c6aa8c7c1f883&amp;abbucket=2&amp;sku_properties=122216494:10862470005</t>
  </si>
  <si>
    <t>https://detail.tmall.com/item.htm?spm=a1z10.3-b-s.w4011-16536364645.39.49482d7dhzX4KM&amp;id=593002649000&amp;rn=1e687d1f92b43511093490e0ba00fcdf&amp;abbucket=2&amp;skuId=4655568083684</t>
    <phoneticPr fontId="1" type="noConversion"/>
  </si>
  <si>
    <t>https://detail.tmall.com/item.htm?spm=a1z10.3-b-s.w4011-16536364645.38.331b2d7dYo5vMi&amp;id=593392394719&amp;rn=e1daba7746be4a3ee41afce4d7e76dc9&amp;abbucket=2&amp;skuId=4343983396245</t>
    <phoneticPr fontId="1" type="noConversion"/>
  </si>
  <si>
    <t>https://detail.tmall.com/item.htm?spm=a1z10.3-b-s.w4011-16536364645.40.58c92d7dH4SIse&amp;id=600664856691&amp;rn=e9ca509e790209b09afdc90c914fb536&amp;abbucket=2</t>
  </si>
  <si>
    <t>https://detail.tmall.com/item.htm?spm=a1z10.3-b-s.w4011-16536364645.38.2a012d7drQNI33&amp;id=605653235538&amp;rn=fd31a98319cec7c55b252f947116e680&amp;abbucket=2</t>
  </si>
  <si>
    <t>https://detail.tmall.com/item.htm?spm=a1z0d.6639537.1997196601.455.7ee87484CoF1zZ&amp;id=609148573080</t>
  </si>
  <si>
    <t>https://detail.tmall.com/item.htm?spm=a1z10.3-b-s.w4011-16536364645.38.3df12d7d9Jc2vr&amp;id=581480714718&amp;rn=432be5a83615489dc04828173368b127&amp;abbucket=2</t>
  </si>
  <si>
    <t>https://detail.tmall.com/item.htm?spm=a1z10.3-b-s.w4011-16536364645.38.21132d7dNhLbe8&amp;id=598996648775&amp;rn=5eff682286b38e606d94c5670080305d&amp;abbucket=2</t>
    <phoneticPr fontId="1" type="noConversion"/>
  </si>
  <si>
    <t>https://detail.tmall.com/item.htm?spm=a1z10.3-b-s.w4011-16536364645.41.19552d7dmQJw6Q&amp;id=621223124044&amp;rn=14ce926267dbe71b83340df0eafc2d8a&amp;abbucket=2&amp;skuId=4566633835446</t>
  </si>
  <si>
    <t>https://detail.tmall.com/item.htm?spm=a1z10.3-b-s.w4011-16536364645.38.526a2d7ddTOgLC&amp;id=616290314153&amp;rn=a756d663a385437af5af03c550852949&amp;abbucket=2</t>
    <phoneticPr fontId="1" type="noConversion"/>
  </si>
  <si>
    <t>https://detail.tmall.com/item.htm?spm=a1z0d.6639537.1997196601.14.39cc7484qdPW97&amp;id=583663603971</t>
    <phoneticPr fontId="1" type="noConversion"/>
  </si>
  <si>
    <r>
      <t>能量</t>
    </r>
    <r>
      <rPr>
        <sz val="9"/>
        <color theme="0"/>
        <rFont val="思源黑体 CN Medium"/>
        <family val="2"/>
        <charset val="128"/>
      </rPr>
      <t>（大卡）</t>
    </r>
    <phoneticPr fontId="1" type="noConversion"/>
  </si>
  <si>
    <r>
      <t>蛋白质</t>
    </r>
    <r>
      <rPr>
        <sz val="9"/>
        <color theme="0"/>
        <rFont val="思源黑体 CN Medium"/>
        <family val="2"/>
        <charset val="128"/>
      </rPr>
      <t>（g）</t>
    </r>
  </si>
  <si>
    <r>
      <t>价格</t>
    </r>
    <r>
      <rPr>
        <sz val="9"/>
        <color theme="0"/>
        <rFont val="思源黑体 CN Medium"/>
        <family val="2"/>
        <charset val="128"/>
      </rPr>
      <t>（元）</t>
    </r>
    <phoneticPr fontId="1" type="noConversion"/>
  </si>
  <si>
    <t>老香农</t>
  </si>
  <si>
    <t>优麦食品</t>
    <phoneticPr fontId="1" type="noConversion"/>
  </si>
  <si>
    <t>330g 21.8</t>
    <phoneticPr fontId="1" type="noConversion"/>
  </si>
  <si>
    <t xml:space="preserve"> 250g 49.9</t>
    <phoneticPr fontId="1" type="noConversion"/>
  </si>
  <si>
    <t xml:space="preserve"> 2500g 10.98</t>
    <phoneticPr fontId="1" type="noConversion"/>
  </si>
  <si>
    <t>500g 13.5</t>
    <phoneticPr fontId="1" type="noConversion"/>
  </si>
  <si>
    <t xml:space="preserve">2250g 28.8 </t>
    <phoneticPr fontId="1" type="noConversion"/>
  </si>
  <si>
    <t>老香农</t>
    <phoneticPr fontId="1" type="noConversion"/>
  </si>
  <si>
    <t>津今椒盐小麻花</t>
    <phoneticPr fontId="1" type="noConversion"/>
  </si>
  <si>
    <t>拓畅食品专营店</t>
    <phoneticPr fontId="1" type="noConversion"/>
  </si>
  <si>
    <t>天猫超市/拓畅食品专营店</t>
    <phoneticPr fontId="1" type="noConversion"/>
  </si>
  <si>
    <t>卜蜂莲花</t>
    <phoneticPr fontId="1" type="noConversion"/>
  </si>
  <si>
    <t>尚健食品旗舰店</t>
    <phoneticPr fontId="1" type="noConversion"/>
  </si>
  <si>
    <t>尚健食品</t>
    <phoneticPr fontId="1" type="noConversion"/>
  </si>
  <si>
    <t>玉米香肠</t>
    <phoneticPr fontId="1" type="noConversion"/>
  </si>
  <si>
    <t>谷色食品</t>
  </si>
  <si>
    <t>咸蛋黄酱</t>
    <phoneticPr fontId="1" type="noConversion"/>
  </si>
  <si>
    <t xml:space="preserve"> 美厨食品专营店</t>
    <phoneticPr fontId="1" type="noConversion"/>
  </si>
  <si>
    <t xml:space="preserve"> 美厨食品</t>
    <phoneticPr fontId="1" type="noConversion"/>
  </si>
  <si>
    <t>海带片</t>
    <phoneticPr fontId="1" type="noConversion"/>
  </si>
  <si>
    <t>分类罗列了徒步常见的食品，可以按照类别进行组合搭配。比较重要的是单份含量，决定了每顿餐食背负量和食用量，以及是否便于分配；单价不够准确，仅供参考。</t>
    <phoneticPr fontId="1" type="noConversion"/>
  </si>
  <si>
    <t>好之润食品</t>
  </si>
  <si>
    <t>密实袋分装。根据情况，按帐篷分装（如正餐）或个人分装（如行动食品）。</t>
    <phoneticPr fontId="1" type="noConversion"/>
  </si>
  <si>
    <t>每人每日的行动食品用同一个小袋子，从装了几日的个人行动食品大包里自己抓。</t>
    <phoneticPr fontId="1" type="noConversion"/>
  </si>
  <si>
    <t>背着；可能返程不需要，出山后可以自己买；去程有送站，可能不需要买很多，送站一般送好多。</t>
    <phoneticPr fontId="1" type="noConversion"/>
  </si>
  <si>
    <t>一般：开了水，把米饭倒进饭盒里，开水倒进去、没过米饭一个小指甲盖的高度，焖8-10分钟。</t>
    <phoneticPr fontId="1" type="noConversion"/>
  </si>
  <si>
    <t>可以试验</t>
    <phoneticPr fontId="1" type="noConversion"/>
  </si>
  <si>
    <t>开</t>
    <phoneticPr fontId="1" type="noConversion"/>
  </si>
  <si>
    <t>是</t>
    <phoneticPr fontId="1" type="noConversion"/>
  </si>
  <si>
    <t>实际支出</t>
    <phoneticPr fontId="1" type="noConversion"/>
  </si>
  <si>
    <t>355g*2（约240颗）为14.8元</t>
    <phoneticPr fontId="1" type="noConversion"/>
  </si>
  <si>
    <t>2kg为38.8元,400g为8.9元，50g一包</t>
    <phoneticPr fontId="1" type="noConversion"/>
  </si>
  <si>
    <t>2500g5斤为10.98元</t>
    <phoneticPr fontId="1" type="noConversion"/>
  </si>
  <si>
    <t>豆皮1</t>
    <phoneticPr fontId="1" type="noConversion"/>
  </si>
  <si>
    <t>豆皮2</t>
  </si>
  <si>
    <t>250g为49.9元</t>
    <phoneticPr fontId="1" type="noConversion"/>
  </si>
  <si>
    <t>弘基</t>
    <phoneticPr fontId="1" type="noConversion"/>
  </si>
  <si>
    <t>正餐
系列</t>
    <phoneticPr fontId="1" type="noConversion"/>
  </si>
  <si>
    <t>行动
食品
系列</t>
    <phoneticPr fontId="1" type="noConversion"/>
  </si>
  <si>
    <t>类主食
（咸）</t>
    <phoneticPr fontId="1" type="noConversion"/>
  </si>
  <si>
    <t>类主食
（甜）</t>
    <phoneticPr fontId="1" type="noConversion"/>
  </si>
  <si>
    <t>浩霖负责部分金额</t>
    <phoneticPr fontId="1" type="noConversion"/>
  </si>
  <si>
    <t>溪远负责部分金额</t>
    <phoneticPr fontId="1" type="noConversion"/>
  </si>
  <si>
    <t>刘畅负责部分金额</t>
    <phoneticPr fontId="1" type="noConversion"/>
  </si>
  <si>
    <t>蒋鹏负责部分金额</t>
    <phoneticPr fontId="1" type="noConversion"/>
  </si>
  <si>
    <t>阿晋负责部分金额</t>
    <phoneticPr fontId="1" type="noConversion"/>
  </si>
  <si>
    <t>效绯负责部分金额</t>
    <phoneticPr fontId="1" type="noConversion"/>
  </si>
  <si>
    <t>分配</t>
    <phoneticPr fontId="1" type="noConversion"/>
  </si>
  <si>
    <t>校核（元）</t>
    <phoneticPr fontId="1" type="noConversion"/>
  </si>
  <si>
    <t>优惠</t>
    <phoneticPr fontId="1" type="noConversion"/>
  </si>
  <si>
    <t>比比赞旗舰店总体优惠9元</t>
    <phoneticPr fontId="1" type="noConversion"/>
  </si>
  <si>
    <t>10x15cm</t>
  </si>
  <si>
    <t>13x19cm</t>
    <phoneticPr fontId="1" type="noConversion"/>
  </si>
  <si>
    <t>10丝白边（常用）100个 3.2元</t>
    <phoneticPr fontId="1" type="noConversion"/>
  </si>
  <si>
    <t>10丝白边（常用）100个 5.2元</t>
    <phoneticPr fontId="1" type="noConversion"/>
  </si>
  <si>
    <t>100个</t>
    <phoneticPr fontId="1" type="noConversion"/>
  </si>
  <si>
    <t>10丝白边（常用）100个 9.5元</t>
    <phoneticPr fontId="1" type="noConversion"/>
  </si>
  <si>
    <t>18x26cm</t>
  </si>
  <si>
    <t>密封袋</t>
    <phoneticPr fontId="1" type="noConversion"/>
  </si>
  <si>
    <t>纸胶带</t>
    <phoneticPr fontId="1" type="noConversion"/>
  </si>
  <si>
    <t>宽3cm*长50m</t>
    <phoneticPr fontId="1" type="noConversion"/>
  </si>
  <si>
    <t>(3卷)共150米</t>
  </si>
  <si>
    <t>宽6cm*长50m</t>
  </si>
  <si>
    <t xml:space="preserve"> (2卷)共100米</t>
  </si>
  <si>
    <t>透明胶带</t>
    <phoneticPr fontId="1" type="noConversion"/>
  </si>
  <si>
    <t>宽4.5cm*2.5cm肉厚</t>
    <phoneticPr fontId="1" type="noConversion"/>
  </si>
  <si>
    <t>1个为6.08</t>
    <phoneticPr fontId="1" type="noConversion"/>
  </si>
  <si>
    <t>2个</t>
    <phoneticPr fontId="1" type="noConversion"/>
  </si>
  <si>
    <t>塑料袋</t>
    <phoneticPr fontId="1" type="noConversion"/>
  </si>
  <si>
    <t>30*48</t>
    <phoneticPr fontId="1" type="noConversion"/>
  </si>
  <si>
    <t>运费</t>
    <phoneticPr fontId="1" type="noConversion"/>
  </si>
  <si>
    <t xml:space="preserve"> 重庆正东胶带厂</t>
    <phoneticPr fontId="1" type="noConversion"/>
  </si>
  <si>
    <t xml:space="preserve"> 双富包装</t>
    <phoneticPr fontId="1" type="noConversion"/>
  </si>
  <si>
    <t>120个</t>
    <phoneticPr fontId="1" type="noConversion"/>
  </si>
  <si>
    <t>【中厚款】1斤装（约120个）</t>
    <phoneticPr fontId="1" type="noConversion"/>
  </si>
  <si>
    <t>nj远航塑业直销店</t>
  </si>
  <si>
    <t>重庆正东胶带厂总体运费</t>
    <phoneticPr fontId="1" type="noConversion"/>
  </si>
  <si>
    <t>nj远航塑业直销店总体运费</t>
    <phoneticPr fontId="1" type="noConversion"/>
  </si>
  <si>
    <t>效绯部分</t>
    <phoneticPr fontId="1" type="noConversion"/>
  </si>
  <si>
    <t>蒋鹏部分</t>
    <phoneticPr fontId="1" type="noConversion"/>
  </si>
  <si>
    <t>路线调整后</t>
    <phoneticPr fontId="1" type="noConversion"/>
  </si>
  <si>
    <r>
      <t>在成都的食品也是提前买好带着？还是</t>
    </r>
    <r>
      <rPr>
        <u/>
        <sz val="9"/>
        <color theme="1"/>
        <rFont val="思源黑体 CN Light"/>
        <family val="2"/>
        <charset val="128"/>
      </rPr>
      <t>找便宜的小餐馆吃</t>
    </r>
    <r>
      <rPr>
        <sz val="9"/>
        <color theme="1"/>
        <rFont val="思源黑体 CN Light"/>
        <family val="2"/>
        <charset val="134"/>
      </rPr>
      <t>？</t>
    </r>
    <phoneticPr fontId="1" type="noConversion"/>
  </si>
  <si>
    <t>汽车午餐</t>
    <phoneticPr fontId="1" type="noConversion"/>
  </si>
  <si>
    <t>前站购买16个人的汽车午餐，可购置黄瓜、西红柿等新鲜蔬果</t>
    <phoneticPr fontId="1" type="noConversion"/>
  </si>
  <si>
    <t>红枣奶茶</t>
    <phoneticPr fontId="1" type="noConversion"/>
  </si>
  <si>
    <t>炒米咸奶茶</t>
    <phoneticPr fontId="1" type="noConversion"/>
  </si>
  <si>
    <t>剩余量</t>
    <phoneticPr fontId="1" type="noConversion"/>
  </si>
  <si>
    <t>1小包（约11.8g）</t>
    <phoneticPr fontId="1" type="noConversion"/>
  </si>
  <si>
    <t>5小包（约15g*5）</t>
    <phoneticPr fontId="1" type="noConversion"/>
  </si>
  <si>
    <t>均为新买入。另外，库存：
蟹黄瓜子仁1小包（约11.8g）
椒盐花生米
原味青豆</t>
    <phoneticPr fontId="1" type="noConversion"/>
  </si>
  <si>
    <t>25小包（约8.4g*25）</t>
    <phoneticPr fontId="1" type="noConversion"/>
  </si>
  <si>
    <t>1小包（约23.5g）</t>
    <phoneticPr fontId="1" type="noConversion"/>
  </si>
  <si>
    <t>3~6</t>
    <phoneticPr fontId="1" type="noConversion"/>
  </si>
  <si>
    <t>阿恋牛肉干</t>
    <phoneticPr fontId="1" type="noConversion"/>
  </si>
  <si>
    <t>1斤115元（满减10元）</t>
    <phoneticPr fontId="1" type="noConversion"/>
  </si>
  <si>
    <t>4斤</t>
    <phoneticPr fontId="1" type="noConversion"/>
  </si>
  <si>
    <t>需14斤，赞助10斤，又购入4斤</t>
    <phoneticPr fontId="1" type="noConversion"/>
  </si>
  <si>
    <t>塔拉九牛草原特产</t>
    <phoneticPr fontId="1" type="noConversion"/>
  </si>
  <si>
    <t>泡腾片</t>
    <phoneticPr fontId="1" type="noConversion"/>
  </si>
  <si>
    <t>宝矿力粉</t>
    <phoneticPr fontId="1" type="noConversion"/>
  </si>
  <si>
    <t>5支（20片/支）为49元</t>
    <phoneticPr fontId="1" type="noConversion"/>
  </si>
  <si>
    <t>5支</t>
    <phoneticPr fontId="1" type="noConversion"/>
  </si>
  <si>
    <t>20盒100袋为135元</t>
    <phoneticPr fontId="1" type="noConversion"/>
  </si>
  <si>
    <t>洋酒百科</t>
    <phoneticPr fontId="1" type="noConversion"/>
  </si>
  <si>
    <t>康恩贝旗舰店</t>
    <phoneticPr fontId="1" type="noConversion"/>
  </si>
  <si>
    <t>每个帐篷1支（20片 4人 1片/人/天 5天），剩下1支共用</t>
    <phoneticPr fontId="1" type="noConversion"/>
  </si>
  <si>
    <t>每个帐篷25袋</t>
    <phoneticPr fontId="1" type="noConversion"/>
  </si>
  <si>
    <t>1600g（约80小包）为29.9元</t>
    <phoneticPr fontId="1" type="noConversion"/>
  </si>
  <si>
    <t>每个帐篷20小包</t>
    <phoneticPr fontId="1" type="noConversion"/>
  </si>
  <si>
    <t>此表不含赞助食品部分，即不含正餐中的牛肉干(部分)和奶茶。</t>
    <phoneticPr fontId="1" type="noConversion"/>
  </si>
  <si>
    <t>32g*10支为10.9元</t>
    <phoneticPr fontId="1" type="noConversion"/>
  </si>
  <si>
    <t>就用水在个人饭盒里泡发，剩下的水就直接倒掉…也不会泡发很久；这次的豆皮都不用泡发，直接煮就行，可能得过几遍水，把盐粒洗掉。</t>
    <phoneticPr fontId="1" type="noConversion"/>
  </si>
  <si>
    <t>有时候可以当地买，网上也有真空包装的烧饼；这次的吊炉烧饼还行</t>
    <phoneticPr fontId="1" type="noConversion"/>
  </si>
  <si>
    <t>需要路线配合细化一下整个行程中的三餐是在什么场景下解决，如汽车、火车、徒步，自带还是餐馆。</t>
    <phoneticPr fontId="1" type="noConversion"/>
  </si>
  <si>
    <t>13车厢有6个人，12车厢有6个人；前站4人</t>
    <phoneticPr fontId="1" type="noConversion"/>
  </si>
  <si>
    <t>组合搭配说明</t>
    <phoneticPr fontId="1" type="noConversion"/>
  </si>
  <si>
    <t>考虑因素：
1. 连续两天之内不出现任何一餐的重复
2. 一天之内只出现一次馍片/馍丁
3. D2（能量最少的晚餐）和L1（能量最多的午餐）在一天内同时出现
4.有豆浆的D3晚餐，当日早餐与次日早餐的热饮均不再是豆浆
5. 每一天三餐的能量和蛋白质总和尽可能相近</t>
    <phoneticPr fontId="1" type="noConversion"/>
  </si>
  <si>
    <t>V2与V1区别：
微调。部分餐食的蛋白质含量不足或差异较大，进行了调整。提高蛋白质：豆干/豆皮/豆奶/豆浆、干贝、麦片、肉类等。
增加三餐组合情况及说明（表格最下方）。</t>
    <phoneticPr fontId="1" type="noConversion"/>
  </si>
  <si>
    <t>V3与V2区别：
增加了购买链接，微调。部分餐食在下单时出现店铺库存不足、涨价等情况，进行了同类替换。
更新三餐组合情况及说明（表格最下方）。</t>
    <phoneticPr fontId="1" type="noConversion"/>
  </si>
  <si>
    <r>
      <t xml:space="preserve">此表不含赞助食品部分，即不含正餐中的牛肉干(部分)和奶茶。
</t>
    </r>
    <r>
      <rPr>
        <sz val="11"/>
        <color rgb="FFFF0000"/>
        <rFont val="思源黑体 CN Medium"/>
        <family val="2"/>
        <charset val="128"/>
      </rPr>
      <t>红色</t>
    </r>
    <r>
      <rPr>
        <sz val="11"/>
        <color theme="1" tint="0.499984740745262"/>
        <rFont val="思源黑体 CN Medium"/>
        <family val="2"/>
        <charset val="128"/>
      </rPr>
      <t>食品为最终的退货部分。</t>
    </r>
    <phoneticPr fontId="1" type="noConversion"/>
  </si>
  <si>
    <t>退货收入</t>
    <phoneticPr fontId="1" type="noConversion"/>
  </si>
  <si>
    <r>
      <t>岩烧乳酪吐司</t>
    </r>
    <r>
      <rPr>
        <sz val="9"/>
        <color rgb="FFFF0000"/>
        <rFont val="思源黑体 CN Light"/>
        <family val="2"/>
        <charset val="128"/>
      </rPr>
      <t>（蓝莓）</t>
    </r>
  </si>
  <si>
    <t>退货
运费</t>
    <phoneticPr fontId="1" type="noConversion"/>
  </si>
  <si>
    <t>老香农旗舰店退货运费</t>
    <phoneticPr fontId="1" type="noConversion"/>
  </si>
  <si>
    <t>刘畅部分</t>
    <phoneticPr fontId="1" type="noConversion"/>
  </si>
  <si>
    <t>比比赞旗舰店退货运费</t>
    <phoneticPr fontId="1" type="noConversion"/>
  </si>
  <si>
    <t>食品实际总支出（元）</t>
    <phoneticPr fontId="1" type="noConversion"/>
  </si>
  <si>
    <t>扣除退货食品，不含之前的库存食品；包含运费支出</t>
    <phoneticPr fontId="1" type="noConversion"/>
  </si>
  <si>
    <r>
      <rPr>
        <sz val="11"/>
        <rFont val="思源黑体 CN Light"/>
        <family val="2"/>
        <charset val="128"/>
      </rPr>
      <t>【两个 一个是买760 一个是买360】</t>
    </r>
    <r>
      <rPr>
        <sz val="11"/>
        <rFont val="等线"/>
        <family val="3"/>
        <charset val="134"/>
        <scheme val="minor"/>
      </rPr>
      <t>https://detail.tmall.com/item.htm?spm=a1z10.3-b-s.w4011-14468840067.48.267a2ea8n5DLTZ&amp;id=600105627231&amp;rn=56a4873c21a23d6d53d97cd9a2d09ad2&amp;abbucket=2
https://detail.tmall.com/item.htm?spm=a1z10.3-b-s.w4011-14468840067.50.267a2ea8n5DLTZ&amp;id=600177205178&amp;rn=56a4873c21a23d6d53d97cd9a2d09ad2&amp;abbucket=2&amp;skuId=4503180328129</t>
    </r>
    <phoneticPr fontId="1" type="noConversion"/>
  </si>
  <si>
    <t>终版与V3区别：
健身牛肉换回牛肉干，微调。跑能的赞助没有了sad
更新三餐组合情况及说明（表格最下方）。</t>
    <phoneticPr fontId="1" type="noConversion"/>
  </si>
  <si>
    <t>价格均不含单独购买的4斤牛肉干</t>
    <phoneticPr fontId="1" type="noConversion"/>
  </si>
  <si>
    <t>过程版：本想健身牛肉火车上吃，风干牛肉徒步吃</t>
    <phoneticPr fontId="1" type="noConversion"/>
  </si>
  <si>
    <t>最终版如下：跑能赞助取消，阿恋最多赞助10斤</t>
    <phoneticPr fontId="1" type="noConversion"/>
  </si>
  <si>
    <t>报外联版如下：只写了最低需求量，外联酌情增加
与上一版区别：健身牛肉徒步的早餐和晚餐吃（因为一袋太多 够一个帐篷吃两顿），牛肉干徒步中午吃</t>
    <phoneticPr fontId="1" type="noConversion"/>
  </si>
  <si>
    <t>【说明】阿恋牛肉只能赞助十斤，另外不够的四斤自行购买</t>
    <phoneticPr fontId="1" type="noConversion"/>
  </si>
  <si>
    <t>【补充说明】最终跑能赞助取消，即取消了能量棒、泡腾片和运动固体饮料；后自行补充购买了泡腾片和宝矿力粉，具体信息见下两行单元格。</t>
    <phoneticPr fontId="1" type="noConversion"/>
  </si>
  <si>
    <t>其他</t>
    <phoneticPr fontId="1" type="noConversion"/>
  </si>
  <si>
    <t>20盒100袋为135元</t>
    <phoneticPr fontId="1" type="noConversion"/>
  </si>
  <si>
    <t>15g</t>
    <phoneticPr fontId="1" type="noConversion"/>
  </si>
  <si>
    <t>100袋</t>
    <phoneticPr fontId="1" type="noConversion"/>
  </si>
  <si>
    <t>宝矿力粉</t>
    <phoneticPr fontId="1" type="noConversion"/>
  </si>
  <si>
    <t>洋酒百科</t>
    <phoneticPr fontId="1" type="noConversion"/>
  </si>
  <si>
    <t>集体食品：够100次，约16人6天；每个帐篷25袋</t>
    <phoneticPr fontId="1" type="noConversion"/>
  </si>
  <si>
    <t>泡腾片</t>
    <phoneticPr fontId="1" type="noConversion"/>
  </si>
  <si>
    <t>5支（20片/支）为49元</t>
    <phoneticPr fontId="1" type="noConversion"/>
  </si>
  <si>
    <t>5支</t>
    <phoneticPr fontId="1" type="noConversion"/>
  </si>
  <si>
    <t>康恩贝旗舰店</t>
    <phoneticPr fontId="1" type="noConversion"/>
  </si>
  <si>
    <t>集体食品：1支/帐篷（1片/人/天 够5天），剩下1支共用</t>
    <phoneticPr fontId="1" type="noConversion"/>
  </si>
  <si>
    <t>1片</t>
    <phoneticPr fontId="1" type="noConversion"/>
  </si>
  <si>
    <t>内容概况</t>
    <phoneticPr fontId="1" type="noConversion"/>
  </si>
  <si>
    <t>食品安排日程版</t>
    <phoneticPr fontId="1" type="noConversion"/>
  </si>
  <si>
    <t>关于携带/分装、食用方式等的Q&amp;A，是自己在做食品计划最初产生的疑问</t>
    <phoneticPr fontId="1" type="noConversion"/>
  </si>
  <si>
    <t>表名</t>
    <phoneticPr fontId="1" type="noConversion"/>
  </si>
  <si>
    <t>食品预算表</t>
    <phoneticPr fontId="1" type="noConversion"/>
  </si>
  <si>
    <t>根据表2做出的食品预算表；其中，火车/汽车/在地25元/人/天，徒步30元/人/天</t>
    <phoneticPr fontId="1" type="noConversion"/>
  </si>
  <si>
    <t>食品罗列版</t>
    <phoneticPr fontId="1" type="noConversion"/>
  </si>
  <si>
    <t>分类罗列了徒步常见的食品，可以按照类别进行组合搭配</t>
    <phoneticPr fontId="1" type="noConversion"/>
  </si>
  <si>
    <t>食品安排_正餐篇V1</t>
    <phoneticPr fontId="1" type="noConversion"/>
  </si>
  <si>
    <t>食品安排_正餐篇V2</t>
  </si>
  <si>
    <t>食品安排_正餐篇V3</t>
  </si>
  <si>
    <t>食品安排_正餐篇终版</t>
    <phoneticPr fontId="1" type="noConversion"/>
  </si>
  <si>
    <t>与路线配合，明确餐食是火车、徒步、汽车中的哪一类；明确要设计的套餐种数和采购量</t>
    <phoneticPr fontId="1" type="noConversion"/>
  </si>
  <si>
    <t>按照套餐设计早/午/晚餐</t>
    <phoneticPr fontId="1" type="noConversion"/>
  </si>
  <si>
    <t>V2与V1区别：部分餐食的蛋白质含量不足或差异较大，进行调整；增加三餐组合情况及说明</t>
    <phoneticPr fontId="1" type="noConversion"/>
  </si>
  <si>
    <t>V3与V2区别：增加了购买链接；部分餐食在下单时出现店铺库存不足、涨价等情况，进行了同类替换</t>
    <phoneticPr fontId="1" type="noConversion"/>
  </si>
  <si>
    <t>终版与V3区别：跑能赞助取消，健身牛肉换回牛肉干</t>
    <phoneticPr fontId="1" type="noConversion"/>
  </si>
  <si>
    <t>食品安排_行动食品篇</t>
    <phoneticPr fontId="1" type="noConversion"/>
  </si>
  <si>
    <t>略</t>
    <phoneticPr fontId="1" type="noConversion"/>
  </si>
  <si>
    <t>食品安排_赞助统计</t>
    <phoneticPr fontId="1" type="noConversion"/>
  </si>
  <si>
    <t>按照食品种类（即采购形式）进行编排</t>
    <phoneticPr fontId="1" type="noConversion"/>
  </si>
  <si>
    <t>食品安排_花销统计V2</t>
    <phoneticPr fontId="1" type="noConversion"/>
  </si>
  <si>
    <t>食品安排_花销统计V1</t>
    <phoneticPr fontId="1" type="noConversion"/>
  </si>
  <si>
    <t>V2与V1区别：补充退货部分</t>
    <phoneticPr fontId="1" type="noConversion"/>
  </si>
  <si>
    <t>食品_多余清单</t>
    <phoneticPr fontId="1" type="noConversion"/>
  </si>
  <si>
    <t>统计此表是为了将“徒步购买多余的食品”用作火车食品，尽量减少新的火车食品的购买；附火车食品建议</t>
    <phoneticPr fontId="1" type="noConversion"/>
  </si>
  <si>
    <t>本表单共含表13张（不含本表）</t>
    <phoneticPr fontId="1" type="noConversion"/>
  </si>
  <si>
    <t>含过程版、报外联版和最终版</t>
    <phoneticPr fontId="1" type="noConversion"/>
  </si>
  <si>
    <r>
      <t xml:space="preserve">统计此表是为了将这些“徒步购买多余的视频”用作火车食品，尽量减少新的火车食品的购买。
此表不含赞助食品部分，即不含行动食品中的能量棒/沙琪玛、泡腾片、运动固体饮料，以及正餐中的健身牛肉、牛肉干和奶茶；但包含了之前科考队的阳台山野营和香山野营剩余食品（表格中的“库存”字样，即指这部分食品）。
</t>
    </r>
    <r>
      <rPr>
        <sz val="11"/>
        <rFont val="思源黑体 CN Medium"/>
        <family val="2"/>
        <charset val="128"/>
      </rPr>
      <t>【关于火车食品】除了泡面，还可考虑罐装八宝粥、三明治、食堂煮玉米等主食，以及适量的黄瓜、西红柿、苹果等蔬菜水果。</t>
    </r>
  </si>
  <si>
    <t>https://item.taobao.com/item.htm?spm=a1z09.2.0.0.11562e8dWDoXtS&amp;id=571678606770&amp;_u=dn2or0s61d8</t>
    <phoneticPr fontId="1" type="noConversion"/>
  </si>
  <si>
    <t>https://detail.tmall.com/item.htm?id=574010851173&amp;spm=a1z09.2.0.0.11562e8dWDoXtS&amp;_u=dn2or0s675e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</si>
</sst>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_);[Red]\(0.0\)"/>
    <numFmt numFmtId="178" formatCode="0_);[Red]\(0\)"/>
  </numFmts>
  <fonts count="4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思源黑体 CN Light"/>
      <family val="2"/>
      <charset val="134"/>
    </font>
    <font>
      <sz val="11"/>
      <color theme="1"/>
      <name val="思源黑体 CN Bold"/>
      <family val="2"/>
      <charset val="134"/>
    </font>
    <font>
      <sz val="11"/>
      <color theme="1"/>
      <name val="思源黑体 CN Medium"/>
      <family val="2"/>
      <charset val="134"/>
    </font>
    <font>
      <sz val="9"/>
      <color theme="1"/>
      <name val="思源黑体 CN Light"/>
      <family val="2"/>
      <charset val="134"/>
    </font>
    <font>
      <sz val="11"/>
      <color theme="1"/>
      <name val="思源黑体 CN Light"/>
      <family val="2"/>
    </font>
    <font>
      <sz val="11"/>
      <color theme="1"/>
      <name val="思源黑体 CN Light"/>
      <family val="2"/>
      <charset val="128"/>
    </font>
    <font>
      <sz val="11"/>
      <color rgb="FFFF0000"/>
      <name val="思源黑体 CN Light"/>
      <family val="2"/>
      <charset val="128"/>
    </font>
    <font>
      <sz val="9"/>
      <color theme="1"/>
      <name val="思源黑体 CN Light"/>
      <family val="2"/>
      <charset val="128"/>
    </font>
    <font>
      <sz val="11"/>
      <color theme="1"/>
      <name val="思源黑体 CN Bold"/>
      <family val="2"/>
      <charset val="128"/>
    </font>
    <font>
      <sz val="9"/>
      <color theme="1"/>
      <name val="思源黑体 CN Medium"/>
      <family val="2"/>
      <charset val="128"/>
    </font>
    <font>
      <sz val="11"/>
      <color theme="1"/>
      <name val="思源黑体 CN Medium"/>
      <family val="2"/>
      <charset val="128"/>
    </font>
    <font>
      <sz val="9"/>
      <color theme="1"/>
      <name val="思源黑体 CN Light"/>
      <family val="2"/>
    </font>
    <font>
      <sz val="12"/>
      <color theme="0"/>
      <name val="思源黑体 CN Bold"/>
      <family val="2"/>
    </font>
    <font>
      <sz val="12"/>
      <color theme="0"/>
      <name val="思源黑体 CN Bold"/>
      <family val="2"/>
      <charset val="128"/>
    </font>
    <font>
      <sz val="9"/>
      <color theme="1"/>
      <name val="思源黑体 CN Bold"/>
      <family val="2"/>
      <charset val="128"/>
    </font>
    <font>
      <b/>
      <sz val="11"/>
      <color theme="1"/>
      <name val="思源黑体 CN Medium"/>
      <family val="2"/>
      <charset val="134"/>
    </font>
    <font>
      <b/>
      <sz val="9"/>
      <color theme="1"/>
      <name val="思源黑体 CN Medium"/>
      <family val="2"/>
      <charset val="128"/>
    </font>
    <font>
      <sz val="11"/>
      <color theme="0"/>
      <name val="思源黑体 CN Bold"/>
      <family val="2"/>
      <charset val="128"/>
    </font>
    <font>
      <sz val="11"/>
      <color theme="0"/>
      <name val="思源黑体 CN Bold"/>
      <family val="2"/>
    </font>
    <font>
      <sz val="11"/>
      <color theme="0"/>
      <name val="思源黑体 CN Bold"/>
      <family val="2"/>
      <charset val="134"/>
    </font>
    <font>
      <sz val="9"/>
      <color theme="0"/>
      <name val="思源黑体 CN Bold"/>
      <family val="2"/>
      <charset val="128"/>
    </font>
    <font>
      <sz val="11"/>
      <color theme="0"/>
      <name val="思源黑体 CN Light"/>
      <family val="2"/>
      <charset val="134"/>
    </font>
    <font>
      <u/>
      <sz val="11"/>
      <color theme="10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0"/>
      <name val="思源黑体 CN Medium"/>
      <family val="2"/>
    </font>
    <font>
      <sz val="11"/>
      <color theme="0"/>
      <name val="思源黑体 CN Medium"/>
      <family val="2"/>
      <charset val="128"/>
    </font>
    <font>
      <sz val="9"/>
      <color theme="0"/>
      <name val="思源黑体 CN Medium"/>
      <family val="2"/>
      <charset val="128"/>
    </font>
    <font>
      <sz val="11"/>
      <color theme="1" tint="0.499984740745262"/>
      <name val="思源黑体 CN Medium"/>
      <family val="2"/>
      <charset val="128"/>
    </font>
    <font>
      <sz val="11"/>
      <name val="思源黑体 CN Light"/>
      <family val="2"/>
      <charset val="128"/>
    </font>
    <font>
      <sz val="11"/>
      <name val="思源黑体 CN Light"/>
      <family val="2"/>
    </font>
    <font>
      <sz val="11"/>
      <color theme="1" tint="0.499984740745262"/>
      <name val="思源黑体 CN Medium"/>
      <family val="2"/>
      <charset val="134"/>
    </font>
    <font>
      <u/>
      <sz val="9"/>
      <color theme="1"/>
      <name val="思源黑体 CN Light"/>
      <family val="2"/>
      <charset val="128"/>
    </font>
    <font>
      <sz val="11"/>
      <color theme="1" tint="0.499984740745262"/>
      <name val="思源黑体 CN Bold"/>
      <family val="2"/>
      <charset val="134"/>
    </font>
    <font>
      <sz val="11"/>
      <color theme="1" tint="0.499984740745262"/>
      <name val="思源黑体 CN Bold"/>
      <family val="2"/>
      <charset val="128"/>
    </font>
    <font>
      <sz val="11"/>
      <color rgb="FFFF0000"/>
      <name val="思源黑体 CN Light"/>
      <family val="2"/>
      <charset val="134"/>
    </font>
    <font>
      <sz val="11"/>
      <color theme="1" tint="0.499984740745262"/>
      <name val="思源黑体 CN Light"/>
      <family val="2"/>
      <charset val="134"/>
    </font>
    <font>
      <sz val="10"/>
      <color theme="1"/>
      <name val="思源黑体 CN Light"/>
      <family val="2"/>
      <charset val="134"/>
    </font>
    <font>
      <sz val="11"/>
      <color rgb="FFFF0000"/>
      <name val="思源黑体 CN Medium"/>
      <family val="2"/>
      <charset val="128"/>
    </font>
    <font>
      <sz val="11"/>
      <color rgb="FFFF0000"/>
      <name val="思源黑体 CN Light"/>
      <family val="2"/>
    </font>
    <font>
      <sz val="9"/>
      <color rgb="FFFF0000"/>
      <name val="思源黑体 CN Light"/>
      <family val="2"/>
      <charset val="128"/>
    </font>
    <font>
      <sz val="11"/>
      <color rgb="FFC00000"/>
      <name val="思源黑体 CN Light"/>
      <family val="2"/>
      <charset val="128"/>
    </font>
    <font>
      <sz val="11"/>
      <name val="思源黑体 CN Medium"/>
      <family val="2"/>
      <charset val="128"/>
    </font>
    <font>
      <sz val="11"/>
      <name val="等线"/>
      <family val="2"/>
      <charset val="128"/>
      <scheme val="minor"/>
    </font>
    <font>
      <sz val="12"/>
      <color theme="0"/>
      <name val="思源黑体 CN Bold"/>
      <family val="2"/>
      <charset val="134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darkUp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5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6" fillId="2" borderId="5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58" fontId="2" fillId="0" borderId="1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5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5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2" fillId="5" borderId="5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176" fontId="2" fillId="5" borderId="8" xfId="0" applyNumberFormat="1" applyFont="1" applyFill="1" applyBorder="1" applyAlignment="1">
      <alignment horizontal="center" vertical="center"/>
    </xf>
    <xf numFmtId="176" fontId="2" fillId="5" borderId="2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176" fontId="12" fillId="5" borderId="2" xfId="0" applyNumberFormat="1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76" fontId="12" fillId="5" borderId="22" xfId="0" applyNumberFormat="1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12" fillId="5" borderId="2" xfId="0" applyNumberFormat="1" applyFont="1" applyFill="1" applyBorder="1" applyAlignment="1">
      <alignment horizontal="center" vertical="center"/>
    </xf>
    <xf numFmtId="177" fontId="2" fillId="0" borderId="28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12" fillId="5" borderId="5" xfId="0" applyNumberFormat="1" applyFont="1" applyFill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12" fillId="5" borderId="6" xfId="0" applyNumberFormat="1" applyFont="1" applyFill="1" applyBorder="1" applyAlignment="1">
      <alignment horizontal="center" vertical="center"/>
    </xf>
    <xf numFmtId="177" fontId="12" fillId="5" borderId="25" xfId="0" applyNumberFormat="1" applyFont="1" applyFill="1" applyBorder="1" applyAlignment="1">
      <alignment horizontal="center" vertical="center"/>
    </xf>
    <xf numFmtId="177" fontId="12" fillId="5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16" fillId="0" borderId="1" xfId="0" applyNumberFormat="1" applyFont="1" applyBorder="1" applyAlignment="1">
      <alignment horizontal="center" vertical="center" wrapText="1"/>
    </xf>
    <xf numFmtId="178" fontId="2" fillId="0" borderId="9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12" fillId="5" borderId="2" xfId="0" applyNumberFormat="1" applyFont="1" applyFill="1" applyBorder="1" applyAlignment="1">
      <alignment horizontal="center" vertical="center"/>
    </xf>
    <xf numFmtId="178" fontId="2" fillId="0" borderId="28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12" fillId="5" borderId="5" xfId="0" applyNumberFormat="1" applyFont="1" applyFill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12" fillId="5" borderId="6" xfId="0" applyNumberFormat="1" applyFont="1" applyFill="1" applyBorder="1" applyAlignment="1">
      <alignment horizontal="center" vertical="center"/>
    </xf>
    <xf numFmtId="178" fontId="12" fillId="5" borderId="25" xfId="0" applyNumberFormat="1" applyFont="1" applyFill="1" applyBorder="1" applyAlignment="1">
      <alignment horizontal="center" vertical="center"/>
    </xf>
    <xf numFmtId="178" fontId="12" fillId="5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16" fillId="0" borderId="1" xfId="0" applyNumberFormat="1" applyFont="1" applyBorder="1" applyAlignment="1">
      <alignment horizontal="center" vertical="center"/>
    </xf>
    <xf numFmtId="177" fontId="12" fillId="5" borderId="22" xfId="0" applyNumberFormat="1" applyFont="1" applyFill="1" applyBorder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8" fontId="12" fillId="5" borderId="22" xfId="0" applyNumberFormat="1" applyFont="1" applyFill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178" fontId="2" fillId="0" borderId="7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176" fontId="2" fillId="5" borderId="22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vertical="center"/>
    </xf>
    <xf numFmtId="177" fontId="17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8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20" fillId="6" borderId="34" xfId="0" applyFont="1" applyFill="1" applyBorder="1" applyAlignment="1">
      <alignment horizontal="center" vertical="center"/>
    </xf>
    <xf numFmtId="0" fontId="19" fillId="6" borderId="3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3" fillId="6" borderId="1" xfId="0" applyFont="1" applyFill="1" applyBorder="1">
      <alignment vertical="center"/>
    </xf>
    <xf numFmtId="178" fontId="22" fillId="6" borderId="35" xfId="0" applyNumberFormat="1" applyFont="1" applyFill="1" applyBorder="1" applyAlignment="1">
      <alignment horizontal="center" vertical="center" wrapText="1"/>
    </xf>
    <xf numFmtId="177" fontId="22" fillId="6" borderId="10" xfId="0" applyNumberFormat="1" applyFont="1" applyFill="1" applyBorder="1" applyAlignment="1">
      <alignment horizontal="center" vertical="center" wrapText="1"/>
    </xf>
    <xf numFmtId="0" fontId="19" fillId="6" borderId="38" xfId="0" applyFont="1" applyFill="1" applyBorder="1" applyAlignment="1">
      <alignment horizontal="center" vertical="center"/>
    </xf>
    <xf numFmtId="0" fontId="19" fillId="6" borderId="37" xfId="0" applyFont="1" applyFill="1" applyBorder="1" applyAlignment="1">
      <alignment horizontal="center" vertical="center"/>
    </xf>
    <xf numFmtId="176" fontId="19" fillId="6" borderId="35" xfId="0" applyNumberFormat="1" applyFont="1" applyFill="1" applyBorder="1" applyAlignment="1">
      <alignment horizontal="center" vertical="center"/>
    </xf>
    <xf numFmtId="176" fontId="19" fillId="6" borderId="10" xfId="0" applyNumberFormat="1" applyFont="1" applyFill="1" applyBorder="1" applyAlignment="1">
      <alignment horizontal="center" vertical="center"/>
    </xf>
    <xf numFmtId="0" fontId="23" fillId="6" borderId="36" xfId="0" applyFont="1" applyFill="1" applyBorder="1">
      <alignment vertical="center"/>
    </xf>
    <xf numFmtId="176" fontId="19" fillId="6" borderId="39" xfId="0" applyNumberFormat="1" applyFont="1" applyFill="1" applyBorder="1" applyAlignment="1">
      <alignment horizontal="center" vertical="center"/>
    </xf>
    <xf numFmtId="178" fontId="22" fillId="6" borderId="38" xfId="0" applyNumberFormat="1" applyFont="1" applyFill="1" applyBorder="1" applyAlignment="1">
      <alignment horizontal="center" vertical="center"/>
    </xf>
    <xf numFmtId="177" fontId="22" fillId="6" borderId="37" xfId="0" applyNumberFormat="1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24" fillId="0" borderId="0" xfId="1">
      <alignment vertical="center"/>
    </xf>
    <xf numFmtId="0" fontId="2" fillId="0" borderId="3" xfId="0" applyFont="1" applyBorder="1" applyAlignment="1">
      <alignment horizontal="center" vertical="center"/>
    </xf>
    <xf numFmtId="176" fontId="19" fillId="6" borderId="37" xfId="0" applyNumberFormat="1" applyFont="1" applyFill="1" applyBorder="1" applyAlignment="1">
      <alignment horizontal="center" vertical="center"/>
    </xf>
    <xf numFmtId="176" fontId="19" fillId="6" borderId="42" xfId="0" applyNumberFormat="1" applyFont="1" applyFill="1" applyBorder="1" applyAlignment="1">
      <alignment horizontal="center" vertical="center"/>
    </xf>
    <xf numFmtId="176" fontId="26" fillId="6" borderId="37" xfId="0" applyNumberFormat="1" applyFont="1" applyFill="1" applyBorder="1" applyAlignment="1">
      <alignment horizontal="center" vertical="center"/>
    </xf>
    <xf numFmtId="178" fontId="27" fillId="6" borderId="37" xfId="0" applyNumberFormat="1" applyFont="1" applyFill="1" applyBorder="1" applyAlignment="1">
      <alignment horizontal="center" vertical="center"/>
    </xf>
    <xf numFmtId="177" fontId="27" fillId="6" borderId="37" xfId="0" applyNumberFormat="1" applyFont="1" applyFill="1" applyBorder="1" applyAlignment="1">
      <alignment horizontal="center" vertical="center"/>
    </xf>
    <xf numFmtId="176" fontId="27" fillId="6" borderId="3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0" fillId="0" borderId="2" xfId="0" applyFont="1" applyBorder="1">
      <alignment vertical="center"/>
    </xf>
    <xf numFmtId="0" fontId="30" fillId="0" borderId="1" xfId="0" applyFont="1" applyBorder="1">
      <alignment vertical="center"/>
    </xf>
    <xf numFmtId="0" fontId="31" fillId="0" borderId="1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6" fillId="0" borderId="2" xfId="0" applyFont="1" applyBorder="1">
      <alignment vertical="center"/>
    </xf>
    <xf numFmtId="0" fontId="7" fillId="2" borderId="3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23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6" fontId="2" fillId="0" borderId="45" xfId="0" applyNumberFormat="1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0" fillId="0" borderId="4" xfId="0" applyBorder="1">
      <alignment vertical="center"/>
    </xf>
    <xf numFmtId="0" fontId="2" fillId="0" borderId="25" xfId="0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4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19" fillId="6" borderId="47" xfId="0" applyNumberFormat="1" applyFont="1" applyFill="1" applyBorder="1" applyAlignment="1">
      <alignment horizontal="center" vertical="center"/>
    </xf>
    <xf numFmtId="176" fontId="36" fillId="0" borderId="5" xfId="0" applyNumberFormat="1" applyFont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 wrapText="1"/>
    </xf>
    <xf numFmtId="177" fontId="27" fillId="6" borderId="48" xfId="0" applyNumberFormat="1" applyFont="1" applyFill="1" applyBorder="1" applyAlignment="1">
      <alignment horizontal="center" vertical="center"/>
    </xf>
    <xf numFmtId="0" fontId="29" fillId="0" borderId="13" xfId="0" applyFont="1" applyBorder="1">
      <alignment vertical="center"/>
    </xf>
    <xf numFmtId="0" fontId="36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176" fontId="36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3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36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6" fillId="0" borderId="4" xfId="0" applyNumberFormat="1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176" fontId="4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4" fillId="0" borderId="0" xfId="1" applyFont="1" applyAlignment="1">
      <alignment vertical="center"/>
    </xf>
    <xf numFmtId="176" fontId="38" fillId="0" borderId="0" xfId="0" applyNumberFormat="1" applyFont="1" applyAlignment="1">
      <alignment horizontal="center" vertical="center"/>
    </xf>
    <xf numFmtId="0" fontId="19" fillId="6" borderId="49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45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2" fillId="0" borderId="43" xfId="0" applyFont="1" applyBorder="1" applyAlignment="1">
      <alignment horizontal="left" vertical="center"/>
    </xf>
    <xf numFmtId="0" fontId="29" fillId="0" borderId="4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0" fontId="21" fillId="6" borderId="34" xfId="0" applyFont="1" applyFill="1" applyBorder="1" applyAlignment="1">
      <alignment horizontal="center" vertical="center"/>
    </xf>
    <xf numFmtId="0" fontId="19" fillId="6" borderId="36" xfId="0" applyFont="1" applyFill="1" applyBorder="1" applyAlignment="1">
      <alignment horizontal="center" vertical="center"/>
    </xf>
    <xf numFmtId="0" fontId="19" fillId="6" borderId="34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left" vertical="center" wrapText="1"/>
    </xf>
    <xf numFmtId="0" fontId="12" fillId="5" borderId="10" xfId="0" applyFont="1" applyFill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20" fillId="6" borderId="40" xfId="0" applyFont="1" applyFill="1" applyBorder="1" applyAlignment="1">
      <alignment horizontal="center" vertical="center"/>
    </xf>
    <xf numFmtId="0" fontId="19" fillId="6" borderId="4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176" fontId="4" fillId="5" borderId="12" xfId="0" applyNumberFormat="1" applyFont="1" applyFill="1" applyBorder="1" applyAlignment="1">
      <alignment horizontal="center" vertical="center"/>
    </xf>
    <xf numFmtId="176" fontId="12" fillId="5" borderId="13" xfId="0" applyNumberFormat="1" applyFont="1" applyFill="1" applyBorder="1" applyAlignment="1">
      <alignment horizontal="center" vertical="center"/>
    </xf>
    <xf numFmtId="176" fontId="12" fillId="5" borderId="19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76" fontId="2" fillId="0" borderId="45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76" fontId="2" fillId="0" borderId="23" xfId="0" applyNumberFormat="1" applyFont="1" applyBorder="1" applyAlignment="1">
      <alignment horizontal="center" vertical="center"/>
    </xf>
    <xf numFmtId="176" fontId="2" fillId="0" borderId="46" xfId="0" applyNumberFormat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6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7" fillId="6" borderId="34" xfId="0" applyFont="1" applyFill="1" applyBorder="1" applyAlignment="1">
      <alignment horizontal="center" vertical="center"/>
    </xf>
    <xf numFmtId="176" fontId="27" fillId="6" borderId="10" xfId="0" applyNumberFormat="1" applyFont="1" applyFill="1" applyBorder="1" applyAlignment="1">
      <alignment horizontal="center" vertical="center"/>
    </xf>
    <xf numFmtId="176" fontId="27" fillId="6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detail.tmall.com/item.htm?spm=a1z10.3-b-s.w4011-16536364645.40.58c92d7dH4SIse&amp;id=600664856691&amp;rn=e9ca509e790209b09afdc90c914fb536&amp;abbucket=2" TargetMode="External"/><Relationship Id="rId13" Type="http://schemas.openxmlformats.org/officeDocument/2006/relationships/hyperlink" Target="https://detail.tmall.com/item.htm?spm=a1z10.3-b-s.w4011-16536364645.41.19552d7dmQJw6Q&amp;id=621223124044&amp;rn=14ce926267dbe71b83340df0eafc2d8a&amp;abbucket=2&amp;skuId=4566633835446" TargetMode="External"/><Relationship Id="rId3" Type="http://schemas.openxmlformats.org/officeDocument/2006/relationships/hyperlink" Target="https://detail.tmall.com/item.htm?spm=a1z0d.6639537.1997196601.273.7ee87484CoF1zZ&amp;id=566911050851&amp;skuId=3771388367473" TargetMode="External"/><Relationship Id="rId7" Type="http://schemas.openxmlformats.org/officeDocument/2006/relationships/hyperlink" Target="https://detail.tmall.com/item.htm?spm=a1z10.3-b-s.w4011-16536364645.38.331b2d7dYo5vMi&amp;id=593392394719&amp;rn=e1daba7746be4a3ee41afce4d7e76dc9&amp;abbucket=2&amp;skuId=4343983396245" TargetMode="External"/><Relationship Id="rId12" Type="http://schemas.openxmlformats.org/officeDocument/2006/relationships/hyperlink" Target="https://detail.tmall.com/item.htm?spm=a1z10.3-b-s.w4011-16536364645.38.526a2d7ddTOgLC&amp;id=616290314153&amp;rn=a756d663a385437af5af03c550852949&amp;abbucket=2" TargetMode="External"/><Relationship Id="rId17" Type="http://schemas.openxmlformats.org/officeDocument/2006/relationships/printerSettings" Target="../printerSettings/printerSettings9.bin"/><Relationship Id="rId2" Type="http://schemas.openxmlformats.org/officeDocument/2006/relationships/hyperlink" Target="https://detail.tmall.com/item.htm?spm=a1z0d.6639537.1997196601.284.7ee87484CoF1zZ&amp;id=534529891208" TargetMode="External"/><Relationship Id="rId16" Type="http://schemas.openxmlformats.org/officeDocument/2006/relationships/hyperlink" Target="https://detail.tmall.com/item.htm?id=574010851173&amp;spm=a1z09.2.0.0.11562e8dWDoXtS&amp;_u=dn2or0s675e" TargetMode="External"/><Relationship Id="rId1" Type="http://schemas.openxmlformats.org/officeDocument/2006/relationships/hyperlink" Target="https://detail.tmall.com/item.htm?spm=a1z0d.6639537.1997196601.295.7ee87484CoF1zZ&amp;id=553997874122" TargetMode="External"/><Relationship Id="rId6" Type="http://schemas.openxmlformats.org/officeDocument/2006/relationships/hyperlink" Target="https://detail.tmall.com/item.htm?spm=a1z10.3-b-s.w4011-22948280440.47.d10629a6JLuAKZ&amp;id=42595204236&amp;rn=42d5c541d30199e20e0c6aa8c7c1f883&amp;abbucket=2&amp;sku_properties=122216494:10862470005" TargetMode="External"/><Relationship Id="rId11" Type="http://schemas.openxmlformats.org/officeDocument/2006/relationships/hyperlink" Target="https://detail.tmall.com/item.htm?spm=a1z10.3-b-s.w4011-16536364645.38.21132d7dNhLbe8&amp;id=598996648775&amp;rn=5eff682286b38e606d94c5670080305d&amp;abbucket=2" TargetMode="External"/><Relationship Id="rId5" Type="http://schemas.openxmlformats.org/officeDocument/2006/relationships/hyperlink" Target="https://detail.tmall.com/item.htm?spm=a1z10.3-b-s.w4011-16536364645.39.49482d7dhzX4KM&amp;id=593002649000&amp;rn=1e687d1f92b43511093490e0ba00fcdf&amp;abbucket=2&amp;skuId=4655568083684" TargetMode="External"/><Relationship Id="rId15" Type="http://schemas.openxmlformats.org/officeDocument/2006/relationships/hyperlink" Target="https://item.taobao.com/item.htm?spm=a1z09.2.0.0.11562e8dWDoXtS&amp;id=571678606770&amp;_u=dn2or0s61d8" TargetMode="External"/><Relationship Id="rId10" Type="http://schemas.openxmlformats.org/officeDocument/2006/relationships/hyperlink" Target="https://detail.tmall.com/item.htm?spm=a1z10.3-b-s.w4011-16536364645.38.3df12d7d9Jc2vr&amp;id=581480714718&amp;rn=432be5a83615489dc04828173368b127&amp;abbucket=2" TargetMode="External"/><Relationship Id="rId4" Type="http://schemas.openxmlformats.org/officeDocument/2006/relationships/hyperlink" Target="https://detail.tmall.com/item.htm?spm=a1z0d.6639537.1997196601.455.7ee87484CoF1zZ&amp;id=609148573080" TargetMode="External"/><Relationship Id="rId9" Type="http://schemas.openxmlformats.org/officeDocument/2006/relationships/hyperlink" Target="https://detail.tmall.com/item.htm?spm=a1z10.3-b-s.w4011-16536364645.38.2a012d7drQNI33&amp;id=605653235538&amp;rn=fd31a98319cec7c55b252f947116e680&amp;abbucket=2" TargetMode="External"/><Relationship Id="rId14" Type="http://schemas.openxmlformats.org/officeDocument/2006/relationships/hyperlink" Target="https://detail.tmall.com/item.htm?spm=a1z0d.6639537.1997196601.14.39cc7484qdPW97&amp;id=58366360397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etail.tmall.com/item.htm?spm=a1z10.3-b-s.w4011-15197494795.53.2ba75fd5v1TpPn&amp;id=577635437044&amp;rn=9715f2ca7a08e6a68a08ea2438e8f612&amp;abbucket=2" TargetMode="External"/><Relationship Id="rId13" Type="http://schemas.openxmlformats.org/officeDocument/2006/relationships/hyperlink" Target="https://detail.tmall.com/item.htm?spm=a1z10.3-b-s.w4011-15197494795.44.decd5fd5QvaNzs&amp;id=606082837046&amp;rn=8e9ac02ba918789a60a1db9a760e407b&amp;abbucket=2" TargetMode="External"/><Relationship Id="rId18" Type="http://schemas.openxmlformats.org/officeDocument/2006/relationships/hyperlink" Target="https://detail.tmall.com/item.htm?spm=a1z10.3-b-s.w4011-15197494795.41.5a3d5fd5f8fJU5&amp;id=619624775609&amp;rn=dd2ac89185bae2b51f71d406aab72451&amp;abbucket=2" TargetMode="External"/><Relationship Id="rId26" Type="http://schemas.openxmlformats.org/officeDocument/2006/relationships/hyperlink" Target="https://detail.tmall.com/item.htm?spm=a1z10.3-b-s.w4011-15457311869.36.1348748aHtaG59&amp;id=627495130656&amp;rn=6995a1b633a485ed582e5cacd18e3c9c&amp;abbucket=2" TargetMode="External"/><Relationship Id="rId3" Type="http://schemas.openxmlformats.org/officeDocument/2006/relationships/hyperlink" Target="https://detail.tmall.com/item.htm?spm=a1z0d.6639537.1997196601.227.7ee87484CoF1zZ&amp;id=626244054331" TargetMode="External"/><Relationship Id="rId21" Type="http://schemas.openxmlformats.org/officeDocument/2006/relationships/hyperlink" Target="https://detail.tmall.com/item.htm?spm=a1z10.3-b-s.w4011-22251070879.38.27aa726edq4qxV&amp;id=625214183872&amp;rn=94f95eb878fb2ccb0f6a0b6492d941ec&amp;abbucket=2" TargetMode="External"/><Relationship Id="rId34" Type="http://schemas.openxmlformats.org/officeDocument/2006/relationships/hyperlink" Target="https://item.taobao.com/item.htm?spm=a1z0d.6639537.1997196601.58.39cc7484qdPW97&amp;id=632266479096" TargetMode="External"/><Relationship Id="rId7" Type="http://schemas.openxmlformats.org/officeDocument/2006/relationships/hyperlink" Target="https://item.taobao.com/item.htm?spm=a1z0d.6639537.1997196601.520.7ee87484CoF1zZ&amp;id=629530715538" TargetMode="External"/><Relationship Id="rId12" Type="http://schemas.openxmlformats.org/officeDocument/2006/relationships/hyperlink" Target="https://detail.tmall.com/item.htm?spm=a1z10.3-b-s.w4011-15197494795.38.6a8e5fd56DnW3Q&amp;id=618945339363&amp;rn=673d23dd3337eed6c13ea3e4172d04e3&amp;abbucket=2" TargetMode="External"/><Relationship Id="rId17" Type="http://schemas.openxmlformats.org/officeDocument/2006/relationships/hyperlink" Target="https://detail.tmall.com/item.htm?spm=a1z10.3-b-s.w4011-15197494795.39.54725fd5CgBUOW&amp;id=610592431815&amp;rn=586f726923196e2c54d18d4c689cecf2&amp;abbucket=2" TargetMode="External"/><Relationship Id="rId25" Type="http://schemas.openxmlformats.org/officeDocument/2006/relationships/hyperlink" Target="https://detail.tmall.com/item.htm?spm=a1z10.3-b-s.w4011-15457311869.34.1348748aHtaG59&amp;id=627121049840&amp;rn=6995a1b633a485ed582e5cacd18e3c9c&amp;abbucket=2" TargetMode="External"/><Relationship Id="rId33" Type="http://schemas.openxmlformats.org/officeDocument/2006/relationships/hyperlink" Target="https://item.taobao.com/item.htm?spm=a1z0d.6639537.1997196601.66.39cc7484qdPW97&amp;id=594619396316" TargetMode="External"/><Relationship Id="rId2" Type="http://schemas.openxmlformats.org/officeDocument/2006/relationships/hyperlink" Target="https://item.taobao.com/item.htm?spm=a1z0d.6639537.1997196601.69.7ee87484CoF1zZ&amp;id=38443966779" TargetMode="External"/><Relationship Id="rId16" Type="http://schemas.openxmlformats.org/officeDocument/2006/relationships/hyperlink" Target="https://detail.tmall.com/item.htm?spm=a1z10.3-b-s.w4011-15197494795.43.616e5fd55Mfxyv&amp;id=607099440013&amp;rn=57d2184a201400c28fac0184b7b5c829&amp;abbucket=2" TargetMode="External"/><Relationship Id="rId20" Type="http://schemas.openxmlformats.org/officeDocument/2006/relationships/hyperlink" Target="https://item.taobao.com/item.htm?spm=a230r.7195193.1997079397.11.6aed718ebRrEx6&amp;id=586412792046&amp;abbucket=18" TargetMode="External"/><Relationship Id="rId29" Type="http://schemas.openxmlformats.org/officeDocument/2006/relationships/hyperlink" Target="https://detail.tmall.com/item.htm?id=631836386751&amp;spm=a1z09.2.0.0.16c12e8dUpSq4g&amp;_u=2n2or0s2d0a&amp;skuId=4500147668869" TargetMode="External"/><Relationship Id="rId1" Type="http://schemas.openxmlformats.org/officeDocument/2006/relationships/hyperlink" Target="https://item.taobao.com/item.htm?spm=a1z0d.6639537.1997196601.47.7ee87484CoF1zZ&amp;id=577782625118" TargetMode="External"/><Relationship Id="rId6" Type="http://schemas.openxmlformats.org/officeDocument/2006/relationships/hyperlink" Target="https://detail.tmall.com/item.htm?spm=a1z0d.6639537.1997196601.511.7ee87484CoF1zZ&amp;id=615843572093" TargetMode="External"/><Relationship Id="rId11" Type="http://schemas.openxmlformats.org/officeDocument/2006/relationships/hyperlink" Target="https://detail.tmall.com/item.htm?spm=a1z10.3-b-s.w4011-15197494795.58.48c45fd5CD1QSe&amp;id=615778384494&amp;rn=8bb9d5c28d72a359145fe18673fd9213&amp;abbucket=2" TargetMode="External"/><Relationship Id="rId24" Type="http://schemas.openxmlformats.org/officeDocument/2006/relationships/hyperlink" Target="https://detail.tmall.com/item.htm?spm=a220o.1000855.0.0.9b2a3003ihkbju&amp;pvid=e941d8ff-9401-4537-9dec-1272b3911ce5&amp;pos=8&amp;acm=03194.1003.1.1288497&amp;id=534401261584&amp;scm=1007.12875.82860.100200300000000" TargetMode="External"/><Relationship Id="rId32" Type="http://schemas.openxmlformats.org/officeDocument/2006/relationships/hyperlink" Target="https://detail.tmall.com/item.htm?spm=a1z0d.6639537.1997196601.25.39cc7484qdPW97&amp;id=633316632831" TargetMode="External"/><Relationship Id="rId5" Type="http://schemas.openxmlformats.org/officeDocument/2006/relationships/hyperlink" Target="https://detail.tmall.com/item.htm?spm=a1z0d.6639537.1997196601.503.7ee87484CoF1zZ&amp;id=549792575840" TargetMode="External"/><Relationship Id="rId15" Type="http://schemas.openxmlformats.org/officeDocument/2006/relationships/hyperlink" Target="https://detail.tmall.com/item.htm?spm=a1z10.3-b-s.w4011-15197494795.44.22615fd51Liyyy&amp;id=610156691616&amp;rn=b5ad0aa3b2c4e9e2d89ddf433f71dc27&amp;abbucket=2" TargetMode="External"/><Relationship Id="rId23" Type="http://schemas.openxmlformats.org/officeDocument/2006/relationships/hyperlink" Target="https://detail.tmall.com/item.htm?spm=a1z10.3-b-s.w4011-14453824560.44.1bee3c85s9cnCa&amp;id=597910937735&amp;rn=1360b31ccc20d754ef9e86e3182510f2&amp;abbucket=2" TargetMode="External"/><Relationship Id="rId28" Type="http://schemas.openxmlformats.org/officeDocument/2006/relationships/hyperlink" Target="https://detail.tmall.com/item.htm?spm=a1z0d.6639537.1997196601.4.7ee87484CoF1zZ&amp;id=614211467343" TargetMode="External"/><Relationship Id="rId10" Type="http://schemas.openxmlformats.org/officeDocument/2006/relationships/hyperlink" Target="https://detail.tmall.com/item.htm?spm=a1z10.3-b-s.w4011-15197494795.43.1d1d5fd51eqtj4&amp;id=599125304015&amp;rn=8ec56983b1c294e4ad4c99760e07a277&amp;abbucket=2&amp;skuId=4437943528866" TargetMode="External"/><Relationship Id="rId19" Type="http://schemas.openxmlformats.org/officeDocument/2006/relationships/hyperlink" Target="https://detail.tmall.com/item.htm?id=564397423221&amp;spm=a1z09.2.0.0.185a2e8dnZdIn2&amp;_u=1n2or0s9e3c" TargetMode="External"/><Relationship Id="rId31" Type="http://schemas.openxmlformats.org/officeDocument/2006/relationships/hyperlink" Target="https://item.taobao.com/item.htm?spm=a1z0d.6639537.1997196601.46.39cc7484qdPW97&amp;id=20499215324" TargetMode="External"/><Relationship Id="rId4" Type="http://schemas.openxmlformats.org/officeDocument/2006/relationships/hyperlink" Target="https://detail.tmall.com/item.htm?spm=a1z0d.6639537.1997196601.262.7ee87484CoF1zZ&amp;id=577050283456" TargetMode="External"/><Relationship Id="rId9" Type="http://schemas.openxmlformats.org/officeDocument/2006/relationships/hyperlink" Target="https://detail.tmall.com/item.htm?spm=a1z10.3-b-s.w4011-15197494795.46.1d1d5fd51eqtj4&amp;id=599357401619&amp;rn=8ec56983b1c294e4ad4c99760e07a277&amp;abbucket=2&amp;skuId=4184978829659" TargetMode="External"/><Relationship Id="rId14" Type="http://schemas.openxmlformats.org/officeDocument/2006/relationships/hyperlink" Target="https://detail.tmall.com/item.htm?spm=a1z10.3-b-s.w4011-15197494795.39.5c415fd5Xtdc4e&amp;id=631664188024&amp;rn=7d2d464229f293f6992d79a0e1b1ae19&amp;abbucket=2" TargetMode="External"/><Relationship Id="rId22" Type="http://schemas.openxmlformats.org/officeDocument/2006/relationships/hyperlink" Target="https://item.taobao.com/item.htm?spm=a230r.7195193.1997079397.10.1ab0737er5o3LP&amp;id=574529020011&amp;abbucket=18" TargetMode="External"/><Relationship Id="rId27" Type="http://schemas.openxmlformats.org/officeDocument/2006/relationships/hyperlink" Target="https://detail.tmall.com/item.htm?spm=a1z10.1-b-s.w4004-16459750448.9.2b876142rEbeh1&amp;pvid=76c1bc9a-4e22-4e22-a254-6f80a906e577&amp;pos=4&amp;acm=03068.1003.1.702815&amp;id=576148466933&amp;scm=1007.12941.156882.100200300000000" TargetMode="External"/><Relationship Id="rId30" Type="http://schemas.openxmlformats.org/officeDocument/2006/relationships/hyperlink" Target="https://item.taobao.com/item.htm?spm=a1z0d.6639537.1997196601.36.39cc7484qdPW97&amp;id=549981677942" TargetMode="External"/><Relationship Id="rId35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detail.tmall.com/item.htm?spm=a1z10.3-b-s.w4011-15197494795.53.2ba75fd5v1TpPn&amp;id=577635437044&amp;rn=9715f2ca7a08e6a68a08ea2438e8f612&amp;abbucket=2" TargetMode="External"/><Relationship Id="rId13" Type="http://schemas.openxmlformats.org/officeDocument/2006/relationships/hyperlink" Target="https://detail.tmall.com/item.htm?spm=a1z10.3-b-s.w4011-15197494795.44.decd5fd5QvaNzs&amp;id=606082837046&amp;rn=8e9ac02ba918789a60a1db9a760e407b&amp;abbucket=2" TargetMode="External"/><Relationship Id="rId18" Type="http://schemas.openxmlformats.org/officeDocument/2006/relationships/hyperlink" Target="https://detail.tmall.com/item.htm?spm=a1z10.3-b-s.w4011-15197494795.41.5a3d5fd5f8fJU5&amp;id=619624775609&amp;rn=dd2ac89185bae2b51f71d406aab72451&amp;abbucket=2" TargetMode="External"/><Relationship Id="rId26" Type="http://schemas.openxmlformats.org/officeDocument/2006/relationships/hyperlink" Target="https://detail.tmall.com/item.htm?spm=a1z10.3-b-s.w4011-15457311869.36.1348748aHtaG59&amp;id=627495130656&amp;rn=6995a1b633a485ed582e5cacd18e3c9c&amp;abbucket=2" TargetMode="External"/><Relationship Id="rId3" Type="http://schemas.openxmlformats.org/officeDocument/2006/relationships/hyperlink" Target="https://detail.tmall.com/item.htm?spm=a1z0d.6639537.1997196601.227.7ee87484CoF1zZ&amp;id=626244054331" TargetMode="External"/><Relationship Id="rId21" Type="http://schemas.openxmlformats.org/officeDocument/2006/relationships/hyperlink" Target="https://detail.tmall.com/item.htm?spm=a1z10.3-b-s.w4011-22251070879.38.27aa726edq4qxV&amp;id=625214183872&amp;rn=94f95eb878fb2ccb0f6a0b6492d941ec&amp;abbucket=2" TargetMode="External"/><Relationship Id="rId34" Type="http://schemas.openxmlformats.org/officeDocument/2006/relationships/hyperlink" Target="https://item.taobao.com/item.htm?spm=a1z0d.6639537.1997196601.58.39cc7484qdPW97&amp;id=632266479096" TargetMode="External"/><Relationship Id="rId7" Type="http://schemas.openxmlformats.org/officeDocument/2006/relationships/hyperlink" Target="https://item.taobao.com/item.htm?spm=a1z0d.6639537.1997196601.520.7ee87484CoF1zZ&amp;id=629530715538" TargetMode="External"/><Relationship Id="rId12" Type="http://schemas.openxmlformats.org/officeDocument/2006/relationships/hyperlink" Target="https://detail.tmall.com/item.htm?spm=a1z10.3-b-s.w4011-15197494795.38.6a8e5fd56DnW3Q&amp;id=618945339363&amp;rn=673d23dd3337eed6c13ea3e4172d04e3&amp;abbucket=2" TargetMode="External"/><Relationship Id="rId17" Type="http://schemas.openxmlformats.org/officeDocument/2006/relationships/hyperlink" Target="https://detail.tmall.com/item.htm?spm=a1z10.3-b-s.w4011-15197494795.39.54725fd5CgBUOW&amp;id=610592431815&amp;rn=586f726923196e2c54d18d4c689cecf2&amp;abbucket=2" TargetMode="External"/><Relationship Id="rId25" Type="http://schemas.openxmlformats.org/officeDocument/2006/relationships/hyperlink" Target="https://detail.tmall.com/item.htm?spm=a1z10.3-b-s.w4011-15457311869.34.1348748aHtaG59&amp;id=627121049840&amp;rn=6995a1b633a485ed582e5cacd18e3c9c&amp;abbucket=2" TargetMode="External"/><Relationship Id="rId33" Type="http://schemas.openxmlformats.org/officeDocument/2006/relationships/hyperlink" Target="https://item.taobao.com/item.htm?spm=a1z0d.6639537.1997196601.66.39cc7484qdPW97&amp;id=594619396316" TargetMode="External"/><Relationship Id="rId2" Type="http://schemas.openxmlformats.org/officeDocument/2006/relationships/hyperlink" Target="https://item.taobao.com/item.htm?spm=a1z0d.6639537.1997196601.69.7ee87484CoF1zZ&amp;id=38443966779" TargetMode="External"/><Relationship Id="rId16" Type="http://schemas.openxmlformats.org/officeDocument/2006/relationships/hyperlink" Target="https://detail.tmall.com/item.htm?spm=a1z10.3-b-s.w4011-15197494795.43.616e5fd55Mfxyv&amp;id=607099440013&amp;rn=57d2184a201400c28fac0184b7b5c829&amp;abbucket=2" TargetMode="External"/><Relationship Id="rId20" Type="http://schemas.openxmlformats.org/officeDocument/2006/relationships/hyperlink" Target="https://item.taobao.com/item.htm?spm=a230r.7195193.1997079397.11.6aed718ebRrEx6&amp;id=586412792046&amp;abbucket=18" TargetMode="External"/><Relationship Id="rId29" Type="http://schemas.openxmlformats.org/officeDocument/2006/relationships/hyperlink" Target="https://detail.tmall.com/item.htm?id=631836386751&amp;spm=a1z09.2.0.0.16c12e8dUpSq4g&amp;_u=2n2or0s2d0a&amp;skuId=4500147668869" TargetMode="External"/><Relationship Id="rId1" Type="http://schemas.openxmlformats.org/officeDocument/2006/relationships/hyperlink" Target="https://item.taobao.com/item.htm?spm=a1z0d.6639537.1997196601.47.7ee87484CoF1zZ&amp;id=577782625118" TargetMode="External"/><Relationship Id="rId6" Type="http://schemas.openxmlformats.org/officeDocument/2006/relationships/hyperlink" Target="https://detail.tmall.com/item.htm?spm=a1z0d.6639537.1997196601.511.7ee87484CoF1zZ&amp;id=615843572093" TargetMode="External"/><Relationship Id="rId11" Type="http://schemas.openxmlformats.org/officeDocument/2006/relationships/hyperlink" Target="https://detail.tmall.com/item.htm?spm=a1z10.3-b-s.w4011-15197494795.58.48c45fd5CD1QSe&amp;id=615778384494&amp;rn=8bb9d5c28d72a359145fe18673fd9213&amp;abbucket=2" TargetMode="External"/><Relationship Id="rId24" Type="http://schemas.openxmlformats.org/officeDocument/2006/relationships/hyperlink" Target="https://detail.tmall.com/item.htm?spm=a220o.1000855.0.0.9b2a3003ihkbju&amp;pvid=e941d8ff-9401-4537-9dec-1272b3911ce5&amp;pos=8&amp;acm=03194.1003.1.1288497&amp;id=534401261584&amp;scm=1007.12875.82860.100200300000000" TargetMode="External"/><Relationship Id="rId32" Type="http://schemas.openxmlformats.org/officeDocument/2006/relationships/hyperlink" Target="https://detail.tmall.com/item.htm?spm=a1z0d.6639537.1997196601.25.39cc7484qdPW97&amp;id=633316632831" TargetMode="External"/><Relationship Id="rId5" Type="http://schemas.openxmlformats.org/officeDocument/2006/relationships/hyperlink" Target="https://detail.tmall.com/item.htm?spm=a1z0d.6639537.1997196601.503.7ee87484CoF1zZ&amp;id=549792575840" TargetMode="External"/><Relationship Id="rId15" Type="http://schemas.openxmlformats.org/officeDocument/2006/relationships/hyperlink" Target="https://detail.tmall.com/item.htm?spm=a1z10.3-b-s.w4011-15197494795.44.22615fd51Liyyy&amp;id=610156691616&amp;rn=b5ad0aa3b2c4e9e2d89ddf433f71dc27&amp;abbucket=2" TargetMode="External"/><Relationship Id="rId23" Type="http://schemas.openxmlformats.org/officeDocument/2006/relationships/hyperlink" Target="https://detail.tmall.com/item.htm?spm=a1z10.3-b-s.w4011-14453824560.44.1bee3c85s9cnCa&amp;id=597910937735&amp;rn=1360b31ccc20d754ef9e86e3182510f2&amp;abbucket=2" TargetMode="External"/><Relationship Id="rId28" Type="http://schemas.openxmlformats.org/officeDocument/2006/relationships/hyperlink" Target="https://detail.tmall.com/item.htm?spm=a1z0d.6639537.1997196601.4.7ee87484CoF1zZ&amp;id=614211467343" TargetMode="External"/><Relationship Id="rId10" Type="http://schemas.openxmlformats.org/officeDocument/2006/relationships/hyperlink" Target="https://detail.tmall.com/item.htm?spm=a1z10.3-b-s.w4011-15197494795.43.1d1d5fd51eqtj4&amp;id=599125304015&amp;rn=8ec56983b1c294e4ad4c99760e07a277&amp;abbucket=2&amp;skuId=4437943528866" TargetMode="External"/><Relationship Id="rId19" Type="http://schemas.openxmlformats.org/officeDocument/2006/relationships/hyperlink" Target="https://detail.tmall.com/item.htm?id=564397423221&amp;spm=a1z09.2.0.0.185a2e8dnZdIn2&amp;_u=1n2or0s9e3c" TargetMode="External"/><Relationship Id="rId31" Type="http://schemas.openxmlformats.org/officeDocument/2006/relationships/hyperlink" Target="https://item.taobao.com/item.htm?spm=a1z0d.6639537.1997196601.46.39cc7484qdPW97&amp;id=20499215324" TargetMode="External"/><Relationship Id="rId4" Type="http://schemas.openxmlformats.org/officeDocument/2006/relationships/hyperlink" Target="https://detail.tmall.com/item.htm?spm=a1z0d.6639537.1997196601.262.7ee87484CoF1zZ&amp;id=577050283456" TargetMode="External"/><Relationship Id="rId9" Type="http://schemas.openxmlformats.org/officeDocument/2006/relationships/hyperlink" Target="https://detail.tmall.com/item.htm?spm=a1z10.3-b-s.w4011-15197494795.46.1d1d5fd51eqtj4&amp;id=599357401619&amp;rn=8ec56983b1c294e4ad4c99760e07a277&amp;abbucket=2&amp;skuId=4184978829659" TargetMode="External"/><Relationship Id="rId14" Type="http://schemas.openxmlformats.org/officeDocument/2006/relationships/hyperlink" Target="https://detail.tmall.com/item.htm?spm=a1z10.3-b-s.w4011-15197494795.39.5c415fd5Xtdc4e&amp;id=631664188024&amp;rn=7d2d464229f293f6992d79a0e1b1ae19&amp;abbucket=2" TargetMode="External"/><Relationship Id="rId22" Type="http://schemas.openxmlformats.org/officeDocument/2006/relationships/hyperlink" Target="https://item.taobao.com/item.htm?spm=a230r.7195193.1997079397.10.1ab0737er5o3LP&amp;id=574529020011&amp;abbucket=18" TargetMode="External"/><Relationship Id="rId27" Type="http://schemas.openxmlformats.org/officeDocument/2006/relationships/hyperlink" Target="https://detail.tmall.com/item.htm?spm=a1z10.1-b-s.w4004-16459750448.9.2b876142rEbeh1&amp;pvid=76c1bc9a-4e22-4e22-a254-6f80a906e577&amp;pos=4&amp;acm=03068.1003.1.702815&amp;id=576148466933&amp;scm=1007.12941.156882.100200300000000" TargetMode="External"/><Relationship Id="rId30" Type="http://schemas.openxmlformats.org/officeDocument/2006/relationships/hyperlink" Target="https://item.taobao.com/item.htm?spm=a1z0d.6639537.1997196601.36.39cc7484qdPW97&amp;id=549981677942" TargetMode="External"/><Relationship Id="rId35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6376-AA5A-42B2-9820-51D2CD83067E}">
  <dimension ref="A1:C15"/>
  <sheetViews>
    <sheetView workbookViewId="0">
      <selection activeCell="C14" sqref="C14"/>
    </sheetView>
  </sheetViews>
  <sheetFormatPr defaultRowHeight="16.2" x14ac:dyDescent="0.25"/>
  <cols>
    <col min="1" max="1" width="6.6640625" style="2" customWidth="1"/>
    <col min="2" max="2" width="21.44140625" style="3" customWidth="1"/>
    <col min="3" max="3" width="98.21875" style="1" customWidth="1"/>
    <col min="4" max="16384" width="8.88671875" style="1"/>
  </cols>
  <sheetData>
    <row r="1" spans="1:3" ht="27.6" customHeight="1" x14ac:dyDescent="0.25">
      <c r="A1" s="327" t="s">
        <v>1036</v>
      </c>
      <c r="B1" s="328"/>
      <c r="C1" s="328"/>
    </row>
    <row r="2" spans="1:3" ht="24.6" customHeight="1" x14ac:dyDescent="0.25">
      <c r="A2" s="325" t="s">
        <v>1013</v>
      </c>
      <c r="B2" s="326"/>
      <c r="C2" s="324" t="s">
        <v>1010</v>
      </c>
    </row>
    <row r="3" spans="1:3" x14ac:dyDescent="0.25">
      <c r="A3" s="276">
        <v>1</v>
      </c>
      <c r="B3" s="282" t="s">
        <v>100</v>
      </c>
      <c r="C3" s="13" t="s">
        <v>1012</v>
      </c>
    </row>
    <row r="4" spans="1:3" x14ac:dyDescent="0.25">
      <c r="A4" s="276">
        <v>2</v>
      </c>
      <c r="B4" s="282" t="s">
        <v>1011</v>
      </c>
      <c r="C4" s="13" t="s">
        <v>1022</v>
      </c>
    </row>
    <row r="5" spans="1:3" x14ac:dyDescent="0.25">
      <c r="A5" s="276">
        <v>3</v>
      </c>
      <c r="B5" s="282" t="s">
        <v>1014</v>
      </c>
      <c r="C5" s="13" t="s">
        <v>1015</v>
      </c>
    </row>
    <row r="6" spans="1:3" x14ac:dyDescent="0.25">
      <c r="A6" s="276">
        <v>4</v>
      </c>
      <c r="B6" s="282" t="s">
        <v>1016</v>
      </c>
      <c r="C6" s="13" t="s">
        <v>1017</v>
      </c>
    </row>
    <row r="7" spans="1:3" x14ac:dyDescent="0.25">
      <c r="A7" s="276">
        <v>5</v>
      </c>
      <c r="B7" s="282" t="s">
        <v>1018</v>
      </c>
      <c r="C7" s="13" t="s">
        <v>1023</v>
      </c>
    </row>
    <row r="8" spans="1:3" x14ac:dyDescent="0.25">
      <c r="A8" s="276">
        <v>6</v>
      </c>
      <c r="B8" s="282" t="s">
        <v>1019</v>
      </c>
      <c r="C8" s="13" t="s">
        <v>1024</v>
      </c>
    </row>
    <row r="9" spans="1:3" x14ac:dyDescent="0.25">
      <c r="A9" s="276">
        <v>7</v>
      </c>
      <c r="B9" s="282" t="s">
        <v>1020</v>
      </c>
      <c r="C9" s="13" t="s">
        <v>1025</v>
      </c>
    </row>
    <row r="10" spans="1:3" x14ac:dyDescent="0.25">
      <c r="A10" s="276">
        <v>8</v>
      </c>
      <c r="B10" s="282" t="s">
        <v>1021</v>
      </c>
      <c r="C10" s="13" t="s">
        <v>1026</v>
      </c>
    </row>
    <row r="11" spans="1:3" x14ac:dyDescent="0.25">
      <c r="A11" s="276">
        <v>9</v>
      </c>
      <c r="B11" s="282" t="s">
        <v>1027</v>
      </c>
      <c r="C11" s="13" t="s">
        <v>1028</v>
      </c>
    </row>
    <row r="12" spans="1:3" x14ac:dyDescent="0.25">
      <c r="A12" s="276">
        <v>10</v>
      </c>
      <c r="B12" s="282" t="s">
        <v>1029</v>
      </c>
      <c r="C12" s="13" t="s">
        <v>1037</v>
      </c>
    </row>
    <row r="13" spans="1:3" x14ac:dyDescent="0.25">
      <c r="A13" s="276">
        <v>11</v>
      </c>
      <c r="B13" s="282" t="s">
        <v>1032</v>
      </c>
      <c r="C13" s="13" t="s">
        <v>1030</v>
      </c>
    </row>
    <row r="14" spans="1:3" x14ac:dyDescent="0.25">
      <c r="A14" s="276">
        <v>12</v>
      </c>
      <c r="B14" s="282" t="s">
        <v>1031</v>
      </c>
      <c r="C14" s="13" t="s">
        <v>1033</v>
      </c>
    </row>
    <row r="15" spans="1:3" x14ac:dyDescent="0.25">
      <c r="A15" s="276">
        <v>13</v>
      </c>
      <c r="B15" s="282" t="s">
        <v>1034</v>
      </c>
      <c r="C15" s="13" t="s">
        <v>1035</v>
      </c>
    </row>
  </sheetData>
  <mergeCells count="2">
    <mergeCell ref="A2:B2"/>
    <mergeCell ref="A1:C1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BD172-A572-4803-8A28-49A6A977BF01}">
  <dimension ref="A1:L24"/>
  <sheetViews>
    <sheetView workbookViewId="0">
      <selection activeCell="A22" sqref="A22:K22"/>
    </sheetView>
  </sheetViews>
  <sheetFormatPr defaultRowHeight="16.2" x14ac:dyDescent="0.25"/>
  <cols>
    <col min="1" max="1" width="5.109375" style="65" customWidth="1"/>
    <col min="2" max="2" width="9.88671875" style="64" customWidth="1"/>
    <col min="3" max="3" width="17.44140625" style="2" customWidth="1"/>
    <col min="4" max="4" width="12.5546875" style="2" customWidth="1"/>
    <col min="5" max="5" width="11.109375" style="63" customWidth="1"/>
    <col min="6" max="6" width="19.77734375" style="63" customWidth="1"/>
    <col min="7" max="7" width="20.109375" style="63" customWidth="1"/>
    <col min="8" max="8" width="9.33203125" style="63" customWidth="1"/>
    <col min="9" max="9" width="11.109375" style="63" customWidth="1"/>
    <col min="10" max="10" width="18.5546875" style="54" customWidth="1"/>
    <col min="11" max="11" width="52.109375" style="1" customWidth="1"/>
    <col min="12" max="16384" width="8.88671875" style="1"/>
  </cols>
  <sheetData>
    <row r="1" spans="1:12" ht="25.8" customHeight="1" x14ac:dyDescent="0.25">
      <c r="A1" s="468" t="s">
        <v>364</v>
      </c>
      <c r="B1" s="469"/>
      <c r="C1" s="202" t="s">
        <v>69</v>
      </c>
      <c r="D1" s="202" t="s">
        <v>354</v>
      </c>
      <c r="E1" s="218" t="s">
        <v>353</v>
      </c>
      <c r="F1" s="203" t="s">
        <v>411</v>
      </c>
      <c r="G1" s="218" t="s">
        <v>410</v>
      </c>
      <c r="H1" s="219" t="s">
        <v>408</v>
      </c>
      <c r="I1" s="204" t="s">
        <v>409</v>
      </c>
      <c r="J1" s="182" t="s">
        <v>133</v>
      </c>
      <c r="K1" s="215" t="s">
        <v>70</v>
      </c>
      <c r="L1" s="182" t="s">
        <v>808</v>
      </c>
    </row>
    <row r="2" spans="1:12" ht="16.2" customHeight="1" x14ac:dyDescent="0.25">
      <c r="A2" s="407" t="s">
        <v>394</v>
      </c>
      <c r="B2" s="465" t="s">
        <v>392</v>
      </c>
      <c r="C2" s="14" t="s">
        <v>339</v>
      </c>
      <c r="D2" s="377" t="s">
        <v>440</v>
      </c>
      <c r="E2" s="437">
        <f>(11.8+14.8+24.8+12.45+8.49)/16/7</f>
        <v>0.64589285714285716</v>
      </c>
      <c r="F2" s="411" t="s">
        <v>447</v>
      </c>
      <c r="G2" s="437"/>
      <c r="H2" s="209" t="s">
        <v>445</v>
      </c>
      <c r="I2" s="68">
        <v>11.8</v>
      </c>
      <c r="J2" s="84" t="s">
        <v>443</v>
      </c>
      <c r="K2" s="350" t="s">
        <v>796</v>
      </c>
      <c r="L2" s="216" t="s">
        <v>843</v>
      </c>
    </row>
    <row r="3" spans="1:12" ht="16.2" customHeight="1" x14ac:dyDescent="0.25">
      <c r="A3" s="474"/>
      <c r="B3" s="401"/>
      <c r="C3" s="53" t="s">
        <v>3</v>
      </c>
      <c r="D3" s="333"/>
      <c r="E3" s="411"/>
      <c r="F3" s="411" t="s">
        <v>891</v>
      </c>
      <c r="G3" s="411"/>
      <c r="H3" s="68" t="s">
        <v>441</v>
      </c>
      <c r="I3" s="68">
        <v>14.8</v>
      </c>
      <c r="J3" s="84" t="s">
        <v>442</v>
      </c>
      <c r="K3" s="350"/>
      <c r="L3" s="216" t="s">
        <v>844</v>
      </c>
    </row>
    <row r="4" spans="1:12" ht="16.2" customHeight="1" thickBot="1" x14ac:dyDescent="0.3">
      <c r="A4" s="474"/>
      <c r="B4" s="404"/>
      <c r="C4" s="15" t="s">
        <v>444</v>
      </c>
      <c r="D4" s="466"/>
      <c r="E4" s="463"/>
      <c r="F4" s="463" t="s">
        <v>446</v>
      </c>
      <c r="G4" s="463"/>
      <c r="H4" s="68" t="s">
        <v>445</v>
      </c>
      <c r="I4" s="68">
        <v>24.8</v>
      </c>
      <c r="J4" s="84" t="s">
        <v>443</v>
      </c>
      <c r="K4" s="350"/>
      <c r="L4" s="1" t="s">
        <v>845</v>
      </c>
    </row>
    <row r="5" spans="1:12" ht="16.2" customHeight="1" x14ac:dyDescent="0.25">
      <c r="A5" s="474"/>
      <c r="B5" s="464" t="s">
        <v>5</v>
      </c>
      <c r="C5" s="16" t="s">
        <v>340</v>
      </c>
      <c r="D5" s="16" t="s">
        <v>450</v>
      </c>
      <c r="E5" s="60">
        <f>I5/45/5*2</f>
        <v>0.46933333333333332</v>
      </c>
      <c r="F5" s="394" t="s">
        <v>438</v>
      </c>
      <c r="G5" s="395"/>
      <c r="H5" s="68" t="s">
        <v>439</v>
      </c>
      <c r="I5" s="68">
        <v>52.8</v>
      </c>
      <c r="J5" s="84" t="s">
        <v>437</v>
      </c>
      <c r="K5" s="13" t="s">
        <v>451</v>
      </c>
      <c r="L5" s="216" t="s">
        <v>846</v>
      </c>
    </row>
    <row r="6" spans="1:12" ht="16.2" customHeight="1" thickBot="1" x14ac:dyDescent="0.3">
      <c r="A6" s="474"/>
      <c r="B6" s="404"/>
      <c r="C6" s="15" t="s">
        <v>8</v>
      </c>
      <c r="D6" s="15" t="s">
        <v>434</v>
      </c>
      <c r="E6" s="87">
        <f>I6/120</f>
        <v>1.2133333333333334</v>
      </c>
      <c r="F6" s="459" t="s">
        <v>432</v>
      </c>
      <c r="G6" s="460"/>
      <c r="H6" s="68" t="s">
        <v>433</v>
      </c>
      <c r="I6" s="68">
        <f>115.8+29.8</f>
        <v>145.6</v>
      </c>
      <c r="J6" s="84" t="s">
        <v>435</v>
      </c>
      <c r="K6" s="13" t="s">
        <v>452</v>
      </c>
      <c r="L6" s="216" t="s">
        <v>847</v>
      </c>
    </row>
    <row r="7" spans="1:12" ht="16.2" customHeight="1" x14ac:dyDescent="0.25">
      <c r="A7" s="474"/>
      <c r="B7" s="405" t="s">
        <v>427</v>
      </c>
      <c r="C7" s="16" t="s">
        <v>412</v>
      </c>
      <c r="D7" s="16" t="s">
        <v>414</v>
      </c>
      <c r="E7" s="60">
        <f>I7/16/7</f>
        <v>0.91785714285714282</v>
      </c>
      <c r="F7" s="394" t="s">
        <v>413</v>
      </c>
      <c r="G7" s="395"/>
      <c r="H7" s="68" t="s">
        <v>422</v>
      </c>
      <c r="I7" s="68">
        <f>68+34.8</f>
        <v>102.8</v>
      </c>
      <c r="J7" s="461" t="s">
        <v>436</v>
      </c>
      <c r="K7" s="350" t="s">
        <v>453</v>
      </c>
      <c r="L7" s="216" t="s">
        <v>848</v>
      </c>
    </row>
    <row r="8" spans="1:12" ht="16.2" customHeight="1" x14ac:dyDescent="0.25">
      <c r="A8" s="474"/>
      <c r="B8" s="401"/>
      <c r="C8" s="53" t="s">
        <v>415</v>
      </c>
      <c r="D8" s="53" t="s">
        <v>416</v>
      </c>
      <c r="E8" s="68">
        <f t="shared" ref="E8:E9" si="0">I8/16/7</f>
        <v>0.75714285714285712</v>
      </c>
      <c r="F8" s="392" t="s">
        <v>417</v>
      </c>
      <c r="G8" s="393"/>
      <c r="H8" s="68" t="s">
        <v>422</v>
      </c>
      <c r="I8" s="68">
        <f>56+28.8</f>
        <v>84.8</v>
      </c>
      <c r="J8" s="462"/>
      <c r="K8" s="350"/>
      <c r="L8" s="216" t="s">
        <v>849</v>
      </c>
    </row>
    <row r="9" spans="1:12" ht="16.2" customHeight="1" x14ac:dyDescent="0.25">
      <c r="A9" s="474"/>
      <c r="B9" s="401"/>
      <c r="C9" s="53" t="s">
        <v>418</v>
      </c>
      <c r="D9" s="53" t="s">
        <v>416</v>
      </c>
      <c r="E9" s="68">
        <f t="shared" si="0"/>
        <v>0.31785714285714289</v>
      </c>
      <c r="F9" s="392" t="s">
        <v>419</v>
      </c>
      <c r="G9" s="393"/>
      <c r="H9" s="68" t="s">
        <v>422</v>
      </c>
      <c r="I9" s="68">
        <f>22.8+12.8</f>
        <v>35.6</v>
      </c>
      <c r="J9" s="462"/>
      <c r="K9" s="350"/>
      <c r="L9" s="216" t="s">
        <v>850</v>
      </c>
    </row>
    <row r="10" spans="1:12" ht="16.2" customHeight="1" thickBot="1" x14ac:dyDescent="0.3">
      <c r="A10" s="474"/>
      <c r="B10" s="404"/>
      <c r="C10" s="15" t="s">
        <v>344</v>
      </c>
      <c r="D10" s="15" t="s">
        <v>420</v>
      </c>
      <c r="E10" s="87">
        <f>I10/16/7</f>
        <v>0.22142857142857145</v>
      </c>
      <c r="F10" s="87" t="s">
        <v>421</v>
      </c>
      <c r="G10" s="87">
        <v>24.8</v>
      </c>
      <c r="H10" s="68" t="s">
        <v>421</v>
      </c>
      <c r="I10" s="68">
        <v>24.8</v>
      </c>
      <c r="J10" s="462"/>
      <c r="K10" s="350"/>
      <c r="L10" s="216" t="s">
        <v>851</v>
      </c>
    </row>
    <row r="11" spans="1:12" ht="16.2" customHeight="1" x14ac:dyDescent="0.25">
      <c r="A11" s="474"/>
      <c r="B11" s="405" t="s">
        <v>393</v>
      </c>
      <c r="C11" s="16" t="s">
        <v>424</v>
      </c>
      <c r="D11" s="16" t="s">
        <v>414</v>
      </c>
      <c r="E11" s="60">
        <f>I11/16/7</f>
        <v>0.51428571428571435</v>
      </c>
      <c r="F11" s="394" t="s">
        <v>426</v>
      </c>
      <c r="G11" s="395"/>
      <c r="H11" s="68" t="s">
        <v>425</v>
      </c>
      <c r="I11" s="68">
        <f>28.8*2</f>
        <v>57.6</v>
      </c>
      <c r="J11" s="462"/>
      <c r="K11" s="350" t="s">
        <v>455</v>
      </c>
      <c r="L11" s="216" t="s">
        <v>852</v>
      </c>
    </row>
    <row r="12" spans="1:12" ht="16.2" customHeight="1" x14ac:dyDescent="0.25">
      <c r="A12" s="474"/>
      <c r="B12" s="401"/>
      <c r="C12" s="74" t="s">
        <v>159</v>
      </c>
      <c r="D12" s="74" t="s">
        <v>420</v>
      </c>
      <c r="E12" s="76">
        <f t="shared" ref="E12:E15" si="1">I12/16/7</f>
        <v>0.16785714285714287</v>
      </c>
      <c r="F12" s="392" t="s">
        <v>429</v>
      </c>
      <c r="G12" s="393"/>
      <c r="H12" s="68" t="s">
        <v>421</v>
      </c>
      <c r="I12" s="68">
        <f>18.8</f>
        <v>18.8</v>
      </c>
      <c r="J12" s="462"/>
      <c r="K12" s="351"/>
      <c r="L12" s="216" t="s">
        <v>853</v>
      </c>
    </row>
    <row r="13" spans="1:12" ht="16.2" customHeight="1" x14ac:dyDescent="0.25">
      <c r="A13" s="474"/>
      <c r="B13" s="401"/>
      <c r="C13" s="74" t="s">
        <v>10</v>
      </c>
      <c r="D13" s="74" t="s">
        <v>420</v>
      </c>
      <c r="E13" s="76">
        <f t="shared" si="1"/>
        <v>0.38303571428571426</v>
      </c>
      <c r="F13" s="392" t="s">
        <v>428</v>
      </c>
      <c r="G13" s="393"/>
      <c r="H13" s="68" t="s">
        <v>421</v>
      </c>
      <c r="I13" s="68">
        <f>42.9</f>
        <v>42.9</v>
      </c>
      <c r="J13" s="462"/>
      <c r="K13" s="351"/>
      <c r="L13" s="216" t="s">
        <v>854</v>
      </c>
    </row>
    <row r="14" spans="1:12" ht="16.2" customHeight="1" x14ac:dyDescent="0.25">
      <c r="A14" s="474"/>
      <c r="B14" s="401"/>
      <c r="C14" s="74" t="s">
        <v>13</v>
      </c>
      <c r="D14" s="74" t="s">
        <v>454</v>
      </c>
      <c r="E14" s="76">
        <f t="shared" si="1"/>
        <v>0.17500000000000002</v>
      </c>
      <c r="F14" s="392" t="s">
        <v>431</v>
      </c>
      <c r="G14" s="393"/>
      <c r="H14" s="68" t="s">
        <v>423</v>
      </c>
      <c r="I14" s="68">
        <f>9.8*2</f>
        <v>19.600000000000001</v>
      </c>
      <c r="J14" s="462"/>
      <c r="K14" s="351"/>
      <c r="L14" s="216" t="s">
        <v>855</v>
      </c>
    </row>
    <row r="15" spans="1:12" ht="16.2" customHeight="1" thickBot="1" x14ac:dyDescent="0.3">
      <c r="A15" s="474"/>
      <c r="B15" s="404"/>
      <c r="C15" s="86" t="s">
        <v>12</v>
      </c>
      <c r="D15" s="86" t="s">
        <v>420</v>
      </c>
      <c r="E15" s="87">
        <f t="shared" si="1"/>
        <v>0.47857142857142859</v>
      </c>
      <c r="F15" s="459" t="s">
        <v>430</v>
      </c>
      <c r="G15" s="460"/>
      <c r="H15" s="90" t="s">
        <v>421</v>
      </c>
      <c r="I15" s="90">
        <f>26.8*2</f>
        <v>53.6</v>
      </c>
      <c r="J15" s="462"/>
      <c r="K15" s="351"/>
      <c r="L15" s="216" t="s">
        <v>856</v>
      </c>
    </row>
    <row r="16" spans="1:12" ht="16.2" customHeight="1" x14ac:dyDescent="0.25">
      <c r="A16" s="474"/>
      <c r="B16" s="140" t="s">
        <v>657</v>
      </c>
      <c r="C16" s="14" t="s">
        <v>658</v>
      </c>
      <c r="D16" s="14" t="s">
        <v>661</v>
      </c>
      <c r="E16" s="61">
        <v>0</v>
      </c>
      <c r="F16" s="394" t="s">
        <v>659</v>
      </c>
      <c r="G16" s="395"/>
      <c r="H16" s="76" t="s">
        <v>660</v>
      </c>
      <c r="I16" s="76"/>
      <c r="J16" s="84"/>
      <c r="K16" s="89"/>
    </row>
    <row r="17" spans="1:12" x14ac:dyDescent="0.25">
      <c r="A17" s="474"/>
      <c r="B17" s="470" t="s">
        <v>630</v>
      </c>
      <c r="C17" s="470"/>
      <c r="D17" s="470"/>
      <c r="E17" s="88">
        <f>SUM(E2:E15)</f>
        <v>6.2615952380952384</v>
      </c>
      <c r="F17" s="471" t="s">
        <v>448</v>
      </c>
      <c r="G17" s="472"/>
      <c r="H17" s="473"/>
      <c r="I17" s="88">
        <f>SUM(I2:I15)</f>
        <v>690.30000000000007</v>
      </c>
      <c r="J17" s="84" t="s">
        <v>449</v>
      </c>
      <c r="K17" s="13"/>
    </row>
    <row r="19" spans="1:12" ht="16.2" customHeight="1" x14ac:dyDescent="0.25">
      <c r="A19" s="401" t="s">
        <v>65</v>
      </c>
      <c r="B19" s="401"/>
      <c r="C19" s="74" t="s">
        <v>622</v>
      </c>
      <c r="D19" s="74" t="s">
        <v>623</v>
      </c>
      <c r="E19" s="76">
        <f>I19/80</f>
        <v>0.37374999999999997</v>
      </c>
      <c r="F19" s="411" t="s">
        <v>624</v>
      </c>
      <c r="G19" s="411"/>
      <c r="H19" s="76" t="s">
        <v>625</v>
      </c>
      <c r="I19" s="76">
        <v>29.9</v>
      </c>
      <c r="J19" s="84" t="s">
        <v>797</v>
      </c>
      <c r="K19" s="13" t="s">
        <v>626</v>
      </c>
      <c r="L19" s="216" t="s">
        <v>857</v>
      </c>
    </row>
    <row r="20" spans="1:12" ht="16.2" customHeight="1" x14ac:dyDescent="0.25">
      <c r="A20" s="401"/>
      <c r="B20" s="401"/>
      <c r="C20" s="333" t="s">
        <v>629</v>
      </c>
      <c r="D20" s="333"/>
      <c r="E20" s="333"/>
      <c r="F20" s="411" t="s">
        <v>634</v>
      </c>
      <c r="G20" s="411"/>
      <c r="H20" s="76" t="s">
        <v>627</v>
      </c>
      <c r="I20" s="76"/>
      <c r="J20" s="84" t="s">
        <v>628</v>
      </c>
      <c r="K20" s="13" t="s">
        <v>636</v>
      </c>
    </row>
    <row r="21" spans="1:12" ht="16.2" customHeight="1" x14ac:dyDescent="0.25">
      <c r="A21" s="401"/>
      <c r="B21" s="401"/>
      <c r="C21" s="333" t="s">
        <v>632</v>
      </c>
      <c r="D21" s="333"/>
      <c r="E21" s="333"/>
      <c r="F21" s="411" t="s">
        <v>633</v>
      </c>
      <c r="G21" s="411"/>
      <c r="H21" s="76" t="s">
        <v>635</v>
      </c>
      <c r="I21" s="76"/>
      <c r="J21" s="84" t="s">
        <v>628</v>
      </c>
      <c r="K21" s="13" t="s">
        <v>637</v>
      </c>
    </row>
    <row r="22" spans="1:12" ht="38.4" customHeight="1" x14ac:dyDescent="0.25">
      <c r="A22" s="467" t="s">
        <v>996</v>
      </c>
      <c r="B22" s="467"/>
      <c r="C22" s="467"/>
      <c r="D22" s="467"/>
      <c r="E22" s="467"/>
      <c r="F22" s="467"/>
      <c r="G22" s="467"/>
      <c r="H22" s="467"/>
      <c r="I22" s="467"/>
      <c r="J22" s="467"/>
      <c r="K22" s="467"/>
    </row>
    <row r="23" spans="1:12" ht="16.2" customHeight="1" x14ac:dyDescent="0.25">
      <c r="A23" s="401" t="s">
        <v>997</v>
      </c>
      <c r="B23" s="401"/>
      <c r="C23" s="276" t="s">
        <v>1001</v>
      </c>
      <c r="D23" s="276" t="s">
        <v>999</v>
      </c>
      <c r="E23" s="283">
        <f>I23/100</f>
        <v>1.35</v>
      </c>
      <c r="F23" s="392" t="s">
        <v>998</v>
      </c>
      <c r="G23" s="393"/>
      <c r="H23" s="283" t="s">
        <v>1000</v>
      </c>
      <c r="I23" s="283">
        <v>135</v>
      </c>
      <c r="J23" s="294" t="s">
        <v>1002</v>
      </c>
      <c r="K23" s="13" t="s">
        <v>1003</v>
      </c>
      <c r="L23" s="216" t="s">
        <v>1039</v>
      </c>
    </row>
    <row r="24" spans="1:12" ht="16.2" customHeight="1" x14ac:dyDescent="0.25">
      <c r="A24" s="401"/>
      <c r="B24" s="401"/>
      <c r="C24" s="276" t="s">
        <v>1004</v>
      </c>
      <c r="D24" s="276" t="s">
        <v>1009</v>
      </c>
      <c r="E24" s="283">
        <f>I24/100</f>
        <v>0.49</v>
      </c>
      <c r="F24" s="392" t="s">
        <v>1005</v>
      </c>
      <c r="G24" s="393"/>
      <c r="H24" s="283" t="s">
        <v>1006</v>
      </c>
      <c r="I24" s="283">
        <v>49</v>
      </c>
      <c r="J24" s="294" t="s">
        <v>1007</v>
      </c>
      <c r="K24" s="13" t="s">
        <v>1008</v>
      </c>
      <c r="L24" s="216" t="s">
        <v>1040</v>
      </c>
    </row>
  </sheetData>
  <mergeCells count="38">
    <mergeCell ref="A22:K22"/>
    <mergeCell ref="A23:B24"/>
    <mergeCell ref="F23:G23"/>
    <mergeCell ref="F24:G24"/>
    <mergeCell ref="A1:B1"/>
    <mergeCell ref="F19:G19"/>
    <mergeCell ref="F20:G20"/>
    <mergeCell ref="C20:E20"/>
    <mergeCell ref="C21:E21"/>
    <mergeCell ref="F21:G21"/>
    <mergeCell ref="A19:B21"/>
    <mergeCell ref="F16:G16"/>
    <mergeCell ref="B17:D17"/>
    <mergeCell ref="F17:H17"/>
    <mergeCell ref="A2:A17"/>
    <mergeCell ref="K2:K4"/>
    <mergeCell ref="F3:G3"/>
    <mergeCell ref="F4:G4"/>
    <mergeCell ref="B5:B6"/>
    <mergeCell ref="F5:G5"/>
    <mergeCell ref="B2:B4"/>
    <mergeCell ref="D2:D4"/>
    <mergeCell ref="E2:E4"/>
    <mergeCell ref="F2:G2"/>
    <mergeCell ref="K7:K10"/>
    <mergeCell ref="K11:K15"/>
    <mergeCell ref="F6:G6"/>
    <mergeCell ref="B7:B10"/>
    <mergeCell ref="F7:G7"/>
    <mergeCell ref="J7:J15"/>
    <mergeCell ref="F8:G8"/>
    <mergeCell ref="F9:G9"/>
    <mergeCell ref="B11:B15"/>
    <mergeCell ref="F11:G11"/>
    <mergeCell ref="F12:G12"/>
    <mergeCell ref="F13:G13"/>
    <mergeCell ref="F14:G14"/>
    <mergeCell ref="F15:G15"/>
  </mergeCells>
  <phoneticPr fontId="1" type="noConversion"/>
  <hyperlinks>
    <hyperlink ref="L5" r:id="rId1" xr:uid="{47BDD8CA-4524-42B6-8A17-BAEEE45672F3}"/>
    <hyperlink ref="L3" r:id="rId2" xr:uid="{58617EAC-E25E-49AB-9F36-2046414EADBF}"/>
    <hyperlink ref="L2" r:id="rId3" xr:uid="{7D80018C-E545-4541-B5BC-63430D6BD9A1}"/>
    <hyperlink ref="L11" r:id="rId4" xr:uid="{666178B5-19B1-4C7B-810F-CDB96687E268}"/>
    <hyperlink ref="L7" r:id="rId5" xr:uid="{A9ED9B0B-7439-41A3-B13B-F6CD960EE9CD}"/>
    <hyperlink ref="L6" r:id="rId6" xr:uid="{53B83FA0-54BF-467B-BA83-E80EC01E27DB}"/>
    <hyperlink ref="L8" r:id="rId7" xr:uid="{99072498-82AA-4417-9FB6-A1D10B4C0AEC}"/>
    <hyperlink ref="L9" r:id="rId8" xr:uid="{ABBFC738-C00C-4CF1-8C73-E0B16ED43AC8}"/>
    <hyperlink ref="L10" r:id="rId9" xr:uid="{2681223D-816B-4C92-949D-E3E003589EEC}"/>
    <hyperlink ref="L12" r:id="rId10" xr:uid="{0F4E8AF2-A5FE-4946-8F47-047D33B30664}"/>
    <hyperlink ref="L13" r:id="rId11" xr:uid="{141B8AB6-08B4-4384-9B3D-5B5D2AD51A4D}"/>
    <hyperlink ref="L15" r:id="rId12" xr:uid="{4CD55F3A-1866-4676-9339-9053BEAB523E}"/>
    <hyperlink ref="L14" r:id="rId13" xr:uid="{85B963AE-8C7C-4F30-BE3E-28F77284429F}"/>
    <hyperlink ref="L19" r:id="rId14" xr:uid="{70F81BE3-4362-4733-8D3F-326DCF2481A5}"/>
    <hyperlink ref="L23" r:id="rId15" xr:uid="{296C3412-FB28-401D-8BAE-FC9D1A39677E}"/>
    <hyperlink ref="L24" r:id="rId16" xr:uid="{6689BCB5-2975-456B-9E03-A03685C0B6C4}"/>
  </hyperlinks>
  <pageMargins left="0.7" right="0.7" top="0.75" bottom="0.75" header="0.3" footer="0.3"/>
  <pageSetup paperSize="9" orientation="portrait" r:id="rId1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981E9-2D24-4ADF-A521-71E3693F5745}">
  <dimension ref="A1:F29"/>
  <sheetViews>
    <sheetView workbookViewId="0">
      <selection activeCell="G15" sqref="G15"/>
    </sheetView>
  </sheetViews>
  <sheetFormatPr defaultRowHeight="15.6" x14ac:dyDescent="0.25"/>
  <cols>
    <col min="1" max="1" width="11" style="2" customWidth="1"/>
    <col min="2" max="2" width="30.21875" style="2" customWidth="1"/>
    <col min="3" max="3" width="35.6640625" style="2" customWidth="1"/>
    <col min="4" max="4" width="11.44140625" style="2" customWidth="1"/>
    <col min="5" max="5" width="11.77734375" style="2" customWidth="1"/>
    <col min="6" max="6" width="92.77734375" style="9" customWidth="1"/>
    <col min="7" max="16384" width="8.88671875" style="1"/>
  </cols>
  <sheetData>
    <row r="1" spans="1:6" ht="17.399999999999999" x14ac:dyDescent="0.25">
      <c r="A1" s="477" t="s">
        <v>992</v>
      </c>
      <c r="B1" s="478"/>
      <c r="C1" s="478"/>
      <c r="D1" s="478"/>
      <c r="E1" s="478"/>
      <c r="F1" s="478"/>
    </row>
    <row r="2" spans="1:6" s="163" customFormat="1" ht="17.399999999999999" x14ac:dyDescent="0.25">
      <c r="A2" s="22" t="s">
        <v>710</v>
      </c>
      <c r="B2" s="22" t="s">
        <v>69</v>
      </c>
      <c r="C2" s="22" t="s">
        <v>713</v>
      </c>
      <c r="D2" s="22" t="s">
        <v>711</v>
      </c>
      <c r="E2" s="22" t="s">
        <v>712</v>
      </c>
      <c r="F2" s="22" t="s">
        <v>117</v>
      </c>
    </row>
    <row r="3" spans="1:6" x14ac:dyDescent="0.25">
      <c r="A3" s="400" t="s">
        <v>727</v>
      </c>
      <c r="B3" s="74" t="s">
        <v>716</v>
      </c>
      <c r="C3" s="74" t="s">
        <v>714</v>
      </c>
      <c r="D3" s="74" t="s">
        <v>715</v>
      </c>
      <c r="E3" s="74">
        <v>180</v>
      </c>
      <c r="F3" s="89" t="s">
        <v>726</v>
      </c>
    </row>
    <row r="4" spans="1:6" x14ac:dyDescent="0.25">
      <c r="A4" s="474"/>
      <c r="B4" s="74" t="s">
        <v>631</v>
      </c>
      <c r="C4" s="74" t="s">
        <v>723</v>
      </c>
      <c r="D4" s="74" t="s">
        <v>722</v>
      </c>
      <c r="E4" s="74">
        <f>300*2+150</f>
        <v>750</v>
      </c>
      <c r="F4" s="89" t="s">
        <v>724</v>
      </c>
    </row>
    <row r="5" spans="1:6" x14ac:dyDescent="0.25">
      <c r="A5" s="474"/>
      <c r="B5" s="74" t="s">
        <v>720</v>
      </c>
      <c r="C5" s="74" t="s">
        <v>721</v>
      </c>
      <c r="D5" s="74" t="s">
        <v>722</v>
      </c>
      <c r="E5" s="74">
        <f>140*2+55</f>
        <v>335</v>
      </c>
      <c r="F5" s="89" t="s">
        <v>725</v>
      </c>
    </row>
    <row r="6" spans="1:6" x14ac:dyDescent="0.25">
      <c r="A6" s="474"/>
      <c r="B6" s="74" t="s">
        <v>708</v>
      </c>
      <c r="C6" s="74" t="s">
        <v>717</v>
      </c>
      <c r="D6" s="74" t="s">
        <v>719</v>
      </c>
      <c r="E6" s="74">
        <v>520</v>
      </c>
      <c r="F6" s="89" t="s">
        <v>718</v>
      </c>
    </row>
    <row r="7" spans="1:6" ht="21" customHeight="1" thickBot="1" x14ac:dyDescent="0.3">
      <c r="A7" s="480"/>
      <c r="B7" s="356" t="s">
        <v>555</v>
      </c>
      <c r="C7" s="356"/>
      <c r="D7" s="356"/>
      <c r="E7" s="86">
        <f>SUM(E3:E6)</f>
        <v>1785</v>
      </c>
      <c r="F7" s="165"/>
    </row>
    <row r="8" spans="1:6" x14ac:dyDescent="0.25">
      <c r="A8" s="465" t="s">
        <v>709</v>
      </c>
      <c r="B8" s="14" t="s">
        <v>728</v>
      </c>
      <c r="C8" s="14" t="s">
        <v>731</v>
      </c>
      <c r="D8" s="14" t="s">
        <v>730</v>
      </c>
      <c r="E8" s="14" t="s">
        <v>732</v>
      </c>
      <c r="F8" s="164" t="s">
        <v>729</v>
      </c>
    </row>
    <row r="9" spans="1:6" x14ac:dyDescent="0.25">
      <c r="A9" s="401"/>
      <c r="B9" s="74" t="s">
        <v>37</v>
      </c>
      <c r="C9" s="74" t="s">
        <v>733</v>
      </c>
      <c r="D9" s="74" t="s">
        <v>735</v>
      </c>
      <c r="E9" s="74">
        <f>28*3</f>
        <v>84</v>
      </c>
      <c r="F9" s="89" t="s">
        <v>734</v>
      </c>
    </row>
    <row r="10" spans="1:6" ht="21" customHeight="1" x14ac:dyDescent="0.25">
      <c r="A10" s="401"/>
      <c r="B10" s="355" t="s">
        <v>555</v>
      </c>
      <c r="C10" s="355"/>
      <c r="D10" s="355"/>
      <c r="E10" s="74" t="s">
        <v>736</v>
      </c>
      <c r="F10" s="89"/>
    </row>
    <row r="11" spans="1:6" ht="34.200000000000003" customHeight="1" x14ac:dyDescent="0.25">
      <c r="A11" s="173"/>
      <c r="B11" s="174"/>
      <c r="C11" s="174"/>
      <c r="D11" s="174"/>
      <c r="E11" s="170"/>
      <c r="F11" s="175"/>
    </row>
    <row r="12" spans="1:6" ht="39" customHeight="1" x14ac:dyDescent="0.25">
      <c r="A12" s="479" t="s">
        <v>994</v>
      </c>
      <c r="B12" s="478"/>
      <c r="C12" s="478"/>
      <c r="D12" s="478"/>
      <c r="E12" s="478"/>
      <c r="F12" s="478"/>
    </row>
    <row r="13" spans="1:6" ht="28.05" customHeight="1" x14ac:dyDescent="0.25">
      <c r="A13" s="181" t="s">
        <v>710</v>
      </c>
      <c r="B13" s="182" t="s">
        <v>69</v>
      </c>
      <c r="C13" s="182" t="s">
        <v>713</v>
      </c>
      <c r="D13" s="182" t="s">
        <v>711</v>
      </c>
      <c r="E13" s="182" t="s">
        <v>712</v>
      </c>
      <c r="F13" s="180" t="s">
        <v>117</v>
      </c>
    </row>
    <row r="14" spans="1:6" x14ac:dyDescent="0.25">
      <c r="A14" s="400" t="s">
        <v>727</v>
      </c>
      <c r="B14" s="169" t="s">
        <v>629</v>
      </c>
      <c r="C14" s="169" t="s">
        <v>714</v>
      </c>
      <c r="D14" s="169" t="s">
        <v>627</v>
      </c>
      <c r="E14" s="169">
        <v>180</v>
      </c>
      <c r="F14" s="171" t="s">
        <v>757</v>
      </c>
    </row>
    <row r="15" spans="1:6" x14ac:dyDescent="0.25">
      <c r="A15" s="474"/>
      <c r="B15" s="169" t="s">
        <v>631</v>
      </c>
      <c r="C15" s="169" t="s">
        <v>723</v>
      </c>
      <c r="D15" s="169" t="s">
        <v>660</v>
      </c>
      <c r="E15" s="169">
        <f>300*2+150</f>
        <v>750</v>
      </c>
      <c r="F15" s="171" t="s">
        <v>752</v>
      </c>
    </row>
    <row r="16" spans="1:6" x14ac:dyDescent="0.25">
      <c r="A16" s="474"/>
      <c r="B16" s="183" t="s">
        <v>720</v>
      </c>
      <c r="C16" s="169" t="s">
        <v>721</v>
      </c>
      <c r="D16" s="184" t="s">
        <v>660</v>
      </c>
      <c r="E16" s="169">
        <f>140*2+55</f>
        <v>335</v>
      </c>
      <c r="F16" s="171" t="s">
        <v>753</v>
      </c>
    </row>
    <row r="17" spans="1:6" ht="31.2" x14ac:dyDescent="0.25">
      <c r="A17" s="474"/>
      <c r="B17" s="183" t="s">
        <v>708</v>
      </c>
      <c r="C17" s="14" t="s">
        <v>717</v>
      </c>
      <c r="D17" s="184" t="s">
        <v>751</v>
      </c>
      <c r="E17" s="169">
        <f>260*4</f>
        <v>1040</v>
      </c>
      <c r="F17" s="171" t="s">
        <v>750</v>
      </c>
    </row>
    <row r="18" spans="1:6" ht="16.8" thickBot="1" x14ac:dyDescent="0.3">
      <c r="A18" s="480"/>
      <c r="B18" s="481" t="s">
        <v>555</v>
      </c>
      <c r="C18" s="482"/>
      <c r="D18" s="481"/>
      <c r="E18" s="178">
        <f>SUM(E14:E17)</f>
        <v>2305</v>
      </c>
      <c r="F18" s="177"/>
    </row>
    <row r="19" spans="1:6" x14ac:dyDescent="0.25">
      <c r="A19" s="465" t="s">
        <v>643</v>
      </c>
      <c r="B19" s="14" t="s">
        <v>728</v>
      </c>
      <c r="C19" s="14" t="s">
        <v>731</v>
      </c>
      <c r="D19" s="14" t="s">
        <v>755</v>
      </c>
      <c r="E19" s="14">
        <f>140*4</f>
        <v>560</v>
      </c>
      <c r="F19" s="176" t="s">
        <v>754</v>
      </c>
    </row>
    <row r="20" spans="1:6" ht="31.2" x14ac:dyDescent="0.25">
      <c r="A20" s="401"/>
      <c r="B20" s="169" t="s">
        <v>37</v>
      </c>
      <c r="C20" s="169" t="s">
        <v>733</v>
      </c>
      <c r="D20" s="169" t="s">
        <v>735</v>
      </c>
      <c r="E20" s="169">
        <f>28*3</f>
        <v>84</v>
      </c>
      <c r="F20" s="171" t="s">
        <v>756</v>
      </c>
    </row>
    <row r="21" spans="1:6" ht="16.2" x14ac:dyDescent="0.25">
      <c r="A21" s="401"/>
      <c r="B21" s="334" t="s">
        <v>555</v>
      </c>
      <c r="C21" s="334"/>
      <c r="D21" s="334"/>
      <c r="E21" s="179">
        <f>E19+E20</f>
        <v>644</v>
      </c>
      <c r="F21" s="172"/>
    </row>
    <row r="22" spans="1:6" ht="43.8" customHeight="1" x14ac:dyDescent="0.25">
      <c r="A22" s="475" t="s">
        <v>758</v>
      </c>
      <c r="B22" s="476"/>
      <c r="C22" s="476"/>
      <c r="D22" s="476"/>
      <c r="E22" s="476"/>
      <c r="F22" s="476"/>
    </row>
    <row r="23" spans="1:6" ht="38.4" customHeight="1" x14ac:dyDescent="0.25"/>
    <row r="24" spans="1:6" ht="39" customHeight="1" x14ac:dyDescent="0.25">
      <c r="A24" s="479" t="s">
        <v>993</v>
      </c>
      <c r="B24" s="478"/>
      <c r="C24" s="478"/>
      <c r="D24" s="478"/>
      <c r="E24" s="478"/>
      <c r="F24" s="478"/>
    </row>
    <row r="25" spans="1:6" ht="28.05" customHeight="1" x14ac:dyDescent="0.25">
      <c r="A25" s="181" t="s">
        <v>710</v>
      </c>
      <c r="B25" s="182" t="s">
        <v>69</v>
      </c>
      <c r="C25" s="182" t="s">
        <v>713</v>
      </c>
      <c r="D25" s="182" t="s">
        <v>711</v>
      </c>
      <c r="E25" s="182" t="s">
        <v>712</v>
      </c>
      <c r="F25" s="180" t="s">
        <v>117</v>
      </c>
    </row>
    <row r="26" spans="1:6" x14ac:dyDescent="0.25">
      <c r="A26" s="465" t="s">
        <v>643</v>
      </c>
      <c r="B26" s="281" t="s">
        <v>728</v>
      </c>
      <c r="C26" s="281" t="s">
        <v>731</v>
      </c>
      <c r="D26" s="281" t="s">
        <v>719</v>
      </c>
      <c r="E26" s="281">
        <f>140*4</f>
        <v>560</v>
      </c>
      <c r="F26" s="164" t="s">
        <v>729</v>
      </c>
    </row>
    <row r="27" spans="1:6" ht="31.2" x14ac:dyDescent="0.25">
      <c r="A27" s="401"/>
      <c r="B27" s="276" t="s">
        <v>37</v>
      </c>
      <c r="C27" s="276" t="s">
        <v>733</v>
      </c>
      <c r="D27" s="276" t="s">
        <v>735</v>
      </c>
      <c r="E27" s="276">
        <f>28*3</f>
        <v>84</v>
      </c>
      <c r="F27" s="277" t="s">
        <v>756</v>
      </c>
    </row>
    <row r="28" spans="1:6" ht="16.2" x14ac:dyDescent="0.25">
      <c r="A28" s="401"/>
      <c r="B28" s="334" t="s">
        <v>555</v>
      </c>
      <c r="C28" s="334"/>
      <c r="D28" s="334"/>
      <c r="E28" s="179">
        <f>E26+E27</f>
        <v>644</v>
      </c>
      <c r="F28" s="278"/>
    </row>
    <row r="29" spans="1:6" ht="43.8" customHeight="1" x14ac:dyDescent="0.25">
      <c r="A29" s="475" t="s">
        <v>995</v>
      </c>
      <c r="B29" s="476"/>
      <c r="C29" s="476"/>
      <c r="D29" s="476"/>
      <c r="E29" s="476"/>
      <c r="F29" s="476"/>
    </row>
  </sheetData>
  <mergeCells count="15">
    <mergeCell ref="A26:A28"/>
    <mergeCell ref="B28:D28"/>
    <mergeCell ref="A29:F29"/>
    <mergeCell ref="A1:F1"/>
    <mergeCell ref="A24:F24"/>
    <mergeCell ref="A19:A21"/>
    <mergeCell ref="B21:D21"/>
    <mergeCell ref="A22:F22"/>
    <mergeCell ref="B7:D7"/>
    <mergeCell ref="A3:A7"/>
    <mergeCell ref="B10:D10"/>
    <mergeCell ref="A8:A10"/>
    <mergeCell ref="A14:A18"/>
    <mergeCell ref="B18:D18"/>
    <mergeCell ref="A12:F12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B6E8-1E27-4422-A2F7-A622FCEA12C0}">
  <dimension ref="A1:P79"/>
  <sheetViews>
    <sheetView workbookViewId="0">
      <selection activeCell="J25" sqref="J25"/>
    </sheetView>
  </sheetViews>
  <sheetFormatPr defaultRowHeight="15.6" x14ac:dyDescent="0.25"/>
  <cols>
    <col min="1" max="1" width="7.21875" customWidth="1"/>
    <col min="2" max="2" width="10.44140625" customWidth="1"/>
    <col min="3" max="3" width="19.44140625" customWidth="1"/>
    <col min="4" max="4" width="29.33203125" customWidth="1"/>
    <col min="5" max="5" width="33.44140625" customWidth="1"/>
    <col min="8" max="8" width="9.44140625" style="251" bestFit="1" customWidth="1"/>
    <col min="9" max="9" width="17.6640625" customWidth="1"/>
    <col min="10" max="10" width="55.33203125" customWidth="1"/>
  </cols>
  <sheetData>
    <row r="1" spans="1:16" s="1" customFormat="1" ht="36" customHeight="1" x14ac:dyDescent="0.25">
      <c r="A1" s="446" t="s">
        <v>970</v>
      </c>
      <c r="B1" s="446"/>
      <c r="C1" s="446"/>
      <c r="D1" s="446"/>
      <c r="E1" s="446"/>
      <c r="F1" s="275"/>
      <c r="G1" s="275"/>
      <c r="H1" s="275"/>
      <c r="I1" s="275"/>
      <c r="J1" s="275"/>
      <c r="K1" s="63"/>
      <c r="L1" s="63"/>
      <c r="M1" s="63"/>
      <c r="N1" s="63"/>
      <c r="O1" s="63"/>
      <c r="P1" s="54"/>
    </row>
    <row r="2" spans="1:16" s="1" customFormat="1" ht="25.8" customHeight="1" x14ac:dyDescent="0.25">
      <c r="A2" s="468" t="s">
        <v>364</v>
      </c>
      <c r="B2" s="469"/>
      <c r="C2" s="202" t="s">
        <v>69</v>
      </c>
      <c r="D2" s="203" t="s">
        <v>411</v>
      </c>
      <c r="E2" s="218" t="s">
        <v>410</v>
      </c>
      <c r="F2" s="219" t="s">
        <v>408</v>
      </c>
      <c r="G2" s="219" t="s">
        <v>409</v>
      </c>
      <c r="H2" s="219" t="s">
        <v>890</v>
      </c>
      <c r="I2" s="182" t="s">
        <v>133</v>
      </c>
      <c r="J2" s="215" t="s">
        <v>70</v>
      </c>
    </row>
    <row r="3" spans="1:16" ht="15.6" customHeight="1" x14ac:dyDescent="0.25">
      <c r="A3" s="498" t="s">
        <v>899</v>
      </c>
      <c r="B3" s="465" t="s">
        <v>392</v>
      </c>
      <c r="C3" s="232" t="s">
        <v>339</v>
      </c>
      <c r="D3" s="411" t="s">
        <v>447</v>
      </c>
      <c r="E3" s="437"/>
      <c r="F3" s="229" t="s">
        <v>445</v>
      </c>
      <c r="G3" s="228">
        <v>11.8</v>
      </c>
      <c r="H3" s="250">
        <v>11.8</v>
      </c>
      <c r="I3" s="230" t="s">
        <v>443</v>
      </c>
      <c r="J3" s="350" t="s">
        <v>796</v>
      </c>
    </row>
    <row r="4" spans="1:16" ht="15.6" customHeight="1" x14ac:dyDescent="0.25">
      <c r="A4" s="499"/>
      <c r="B4" s="401"/>
      <c r="C4" s="224" t="s">
        <v>3</v>
      </c>
      <c r="D4" s="411" t="s">
        <v>891</v>
      </c>
      <c r="E4" s="411"/>
      <c r="F4" s="228" t="s">
        <v>441</v>
      </c>
      <c r="G4" s="228">
        <v>14.8</v>
      </c>
      <c r="H4" s="250">
        <v>14.01</v>
      </c>
      <c r="I4" s="230" t="s">
        <v>442</v>
      </c>
      <c r="J4" s="350"/>
    </row>
    <row r="5" spans="1:16" ht="16.2" customHeight="1" thickBot="1" x14ac:dyDescent="0.3">
      <c r="A5" s="499"/>
      <c r="B5" s="404"/>
      <c r="C5" s="233" t="s">
        <v>444</v>
      </c>
      <c r="D5" s="463" t="s">
        <v>446</v>
      </c>
      <c r="E5" s="463"/>
      <c r="F5" s="231" t="s">
        <v>445</v>
      </c>
      <c r="G5" s="231">
        <v>24.8</v>
      </c>
      <c r="H5" s="145">
        <v>24.8</v>
      </c>
      <c r="I5" s="248" t="s">
        <v>443</v>
      </c>
      <c r="J5" s="501"/>
    </row>
    <row r="6" spans="1:16" ht="15.6" customHeight="1" x14ac:dyDescent="0.25">
      <c r="A6" s="499"/>
      <c r="B6" s="464" t="s">
        <v>5</v>
      </c>
      <c r="C6" s="16" t="s">
        <v>340</v>
      </c>
      <c r="D6" s="394" t="s">
        <v>438</v>
      </c>
      <c r="E6" s="395"/>
      <c r="F6" s="60" t="s">
        <v>439</v>
      </c>
      <c r="G6" s="60">
        <v>52.8</v>
      </c>
      <c r="H6" s="259">
        <v>52.8</v>
      </c>
      <c r="I6" s="267" t="s">
        <v>437</v>
      </c>
      <c r="J6" s="152" t="s">
        <v>451</v>
      </c>
    </row>
    <row r="7" spans="1:16" ht="16.2" customHeight="1" thickBot="1" x14ac:dyDescent="0.3">
      <c r="A7" s="499"/>
      <c r="B7" s="404"/>
      <c r="C7" s="233" t="s">
        <v>8</v>
      </c>
      <c r="D7" s="459" t="s">
        <v>432</v>
      </c>
      <c r="E7" s="460"/>
      <c r="F7" s="231" t="s">
        <v>169</v>
      </c>
      <c r="G7" s="231">
        <f>115.8+29.8</f>
        <v>145.6</v>
      </c>
      <c r="H7" s="145">
        <f>108.59+27.8</f>
        <v>136.39000000000001</v>
      </c>
      <c r="I7" s="248" t="s">
        <v>435</v>
      </c>
      <c r="J7" s="151" t="s">
        <v>452</v>
      </c>
    </row>
    <row r="8" spans="1:16" ht="15.6" customHeight="1" x14ac:dyDescent="0.25">
      <c r="A8" s="499"/>
      <c r="B8" s="407" t="s">
        <v>15</v>
      </c>
      <c r="C8" s="232" t="s">
        <v>412</v>
      </c>
      <c r="D8" s="442" t="s">
        <v>413</v>
      </c>
      <c r="E8" s="443"/>
      <c r="F8" s="229" t="s">
        <v>422</v>
      </c>
      <c r="G8" s="229">
        <f>68+34.8</f>
        <v>102.8</v>
      </c>
      <c r="H8" s="246">
        <f>68+34.8</f>
        <v>102.8</v>
      </c>
      <c r="I8" s="502" t="s">
        <v>436</v>
      </c>
      <c r="J8" s="503" t="s">
        <v>453</v>
      </c>
    </row>
    <row r="9" spans="1:16" ht="15.6" customHeight="1" x14ac:dyDescent="0.25">
      <c r="A9" s="499"/>
      <c r="B9" s="401"/>
      <c r="C9" s="224" t="s">
        <v>415</v>
      </c>
      <c r="D9" s="392" t="s">
        <v>417</v>
      </c>
      <c r="E9" s="393"/>
      <c r="F9" s="228" t="s">
        <v>422</v>
      </c>
      <c r="G9" s="228">
        <f>56+28.8</f>
        <v>84.8</v>
      </c>
      <c r="H9" s="245">
        <f>56+28.8</f>
        <v>84.8</v>
      </c>
      <c r="I9" s="462"/>
      <c r="J9" s="350"/>
    </row>
    <row r="10" spans="1:16" ht="15.6" customHeight="1" x14ac:dyDescent="0.25">
      <c r="A10" s="499"/>
      <c r="B10" s="401"/>
      <c r="C10" s="224" t="s">
        <v>418</v>
      </c>
      <c r="D10" s="392" t="s">
        <v>419</v>
      </c>
      <c r="E10" s="393"/>
      <c r="F10" s="228" t="s">
        <v>422</v>
      </c>
      <c r="G10" s="228">
        <f>22.8+12.8</f>
        <v>35.6</v>
      </c>
      <c r="H10" s="245">
        <f>22.8+12.8</f>
        <v>35.6</v>
      </c>
      <c r="I10" s="462"/>
      <c r="J10" s="350"/>
    </row>
    <row r="11" spans="1:16" ht="16.2" customHeight="1" thickBot="1" x14ac:dyDescent="0.3">
      <c r="A11" s="499"/>
      <c r="B11" s="404"/>
      <c r="C11" s="233" t="s">
        <v>344</v>
      </c>
      <c r="D11" s="231" t="s">
        <v>421</v>
      </c>
      <c r="E11" s="231">
        <v>24.8</v>
      </c>
      <c r="F11" s="231" t="s">
        <v>421</v>
      </c>
      <c r="G11" s="231">
        <v>24.8</v>
      </c>
      <c r="H11" s="247">
        <v>24.8</v>
      </c>
      <c r="I11" s="462"/>
      <c r="J11" s="501"/>
    </row>
    <row r="12" spans="1:16" ht="15.6" customHeight="1" x14ac:dyDescent="0.25">
      <c r="A12" s="499"/>
      <c r="B12" s="405" t="s">
        <v>9</v>
      </c>
      <c r="C12" s="16" t="s">
        <v>424</v>
      </c>
      <c r="D12" s="394" t="s">
        <v>426</v>
      </c>
      <c r="E12" s="395"/>
      <c r="F12" s="60" t="s">
        <v>425</v>
      </c>
      <c r="G12" s="60">
        <f>28.8*2</f>
        <v>57.6</v>
      </c>
      <c r="H12" s="258">
        <f>28.8*2</f>
        <v>57.6</v>
      </c>
      <c r="I12" s="462"/>
      <c r="J12" s="503" t="s">
        <v>455</v>
      </c>
    </row>
    <row r="13" spans="1:16" ht="15.6" customHeight="1" x14ac:dyDescent="0.25">
      <c r="A13" s="499"/>
      <c r="B13" s="401"/>
      <c r="C13" s="224" t="s">
        <v>159</v>
      </c>
      <c r="D13" s="392" t="s">
        <v>429</v>
      </c>
      <c r="E13" s="393"/>
      <c r="F13" s="228" t="s">
        <v>421</v>
      </c>
      <c r="G13" s="228">
        <f>18.8</f>
        <v>18.8</v>
      </c>
      <c r="H13" s="245">
        <f>18.8</f>
        <v>18.8</v>
      </c>
      <c r="I13" s="462"/>
      <c r="J13" s="351"/>
    </row>
    <row r="14" spans="1:16" ht="15.6" customHeight="1" x14ac:dyDescent="0.25">
      <c r="A14" s="499"/>
      <c r="B14" s="401"/>
      <c r="C14" s="224" t="s">
        <v>10</v>
      </c>
      <c r="D14" s="392" t="s">
        <v>428</v>
      </c>
      <c r="E14" s="393"/>
      <c r="F14" s="228" t="s">
        <v>421</v>
      </c>
      <c r="G14" s="228">
        <f>42.9</f>
        <v>42.9</v>
      </c>
      <c r="H14" s="245">
        <f>42.9</f>
        <v>42.9</v>
      </c>
      <c r="I14" s="462"/>
      <c r="J14" s="351"/>
    </row>
    <row r="15" spans="1:16" ht="15.6" customHeight="1" x14ac:dyDescent="0.25">
      <c r="A15" s="499"/>
      <c r="B15" s="401"/>
      <c r="C15" s="224" t="s">
        <v>13</v>
      </c>
      <c r="D15" s="392" t="s">
        <v>431</v>
      </c>
      <c r="E15" s="393"/>
      <c r="F15" s="228" t="s">
        <v>348</v>
      </c>
      <c r="G15" s="228">
        <f>9.8*2</f>
        <v>19.600000000000001</v>
      </c>
      <c r="H15" s="245">
        <f>9.8*2</f>
        <v>19.600000000000001</v>
      </c>
      <c r="I15" s="462"/>
      <c r="J15" s="351"/>
    </row>
    <row r="16" spans="1:16" ht="16.2" customHeight="1" thickBot="1" x14ac:dyDescent="0.3">
      <c r="A16" s="499"/>
      <c r="B16" s="404"/>
      <c r="C16" s="233" t="s">
        <v>12</v>
      </c>
      <c r="D16" s="459" t="s">
        <v>430</v>
      </c>
      <c r="E16" s="460"/>
      <c r="F16" s="231" t="s">
        <v>421</v>
      </c>
      <c r="G16" s="231">
        <f>26.8*2</f>
        <v>53.6</v>
      </c>
      <c r="H16" s="247">
        <f>26.8*2</f>
        <v>53.6</v>
      </c>
      <c r="I16" s="462"/>
      <c r="J16" s="504"/>
    </row>
    <row r="17" spans="1:10" ht="16.2" customHeight="1" x14ac:dyDescent="0.25">
      <c r="A17" s="499"/>
      <c r="B17" s="483" t="s">
        <v>65</v>
      </c>
      <c r="C17" s="16" t="s">
        <v>959</v>
      </c>
      <c r="D17" s="394" t="s">
        <v>961</v>
      </c>
      <c r="E17" s="395"/>
      <c r="F17" s="272" t="s">
        <v>962</v>
      </c>
      <c r="G17" s="272">
        <v>49</v>
      </c>
      <c r="H17" s="272">
        <v>49</v>
      </c>
      <c r="I17" s="274" t="s">
        <v>965</v>
      </c>
      <c r="J17" s="152" t="s">
        <v>966</v>
      </c>
    </row>
    <row r="18" spans="1:10" ht="16.2" customHeight="1" x14ac:dyDescent="0.25">
      <c r="A18" s="499"/>
      <c r="B18" s="484"/>
      <c r="C18" s="268" t="s">
        <v>960</v>
      </c>
      <c r="D18" s="392" t="s">
        <v>963</v>
      </c>
      <c r="E18" s="393"/>
      <c r="F18" s="270" t="s">
        <v>655</v>
      </c>
      <c r="G18" s="270">
        <v>135</v>
      </c>
      <c r="H18" s="270">
        <v>135</v>
      </c>
      <c r="I18" s="274" t="s">
        <v>964</v>
      </c>
      <c r="J18" s="13" t="s">
        <v>967</v>
      </c>
    </row>
    <row r="19" spans="1:10" s="1" customFormat="1" ht="16.2" customHeight="1" thickBot="1" x14ac:dyDescent="0.3">
      <c r="A19" s="500"/>
      <c r="B19" s="485"/>
      <c r="C19" s="264" t="s">
        <v>85</v>
      </c>
      <c r="D19" s="496" t="s">
        <v>968</v>
      </c>
      <c r="E19" s="497"/>
      <c r="F19" s="265" t="s">
        <v>463</v>
      </c>
      <c r="G19" s="265">
        <v>29.9</v>
      </c>
      <c r="H19" s="266">
        <v>29.9</v>
      </c>
      <c r="I19" s="249" t="s">
        <v>797</v>
      </c>
      <c r="J19" s="13" t="s">
        <v>969</v>
      </c>
    </row>
    <row r="20" spans="1:10" ht="16.2" thickTop="1" x14ac:dyDescent="0.25">
      <c r="A20" s="436" t="s">
        <v>898</v>
      </c>
      <c r="B20" s="493" t="s">
        <v>30</v>
      </c>
      <c r="C20" s="66" t="s">
        <v>38</v>
      </c>
      <c r="D20" s="495" t="s">
        <v>507</v>
      </c>
      <c r="E20" s="495"/>
      <c r="F20" s="67" t="s">
        <v>508</v>
      </c>
      <c r="G20" s="67">
        <f>21.9+13.6</f>
        <v>35.5</v>
      </c>
      <c r="H20" s="67">
        <f>21.9+13.6</f>
        <v>35.5</v>
      </c>
      <c r="I20" s="67" t="s">
        <v>319</v>
      </c>
      <c r="J20" s="253" t="s">
        <v>509</v>
      </c>
    </row>
    <row r="21" spans="1:10" ht="16.2" thickBot="1" x14ac:dyDescent="0.3">
      <c r="A21" s="474"/>
      <c r="B21" s="356"/>
      <c r="C21" s="233" t="s">
        <v>146</v>
      </c>
      <c r="D21" s="463" t="s">
        <v>762</v>
      </c>
      <c r="E21" s="463"/>
      <c r="F21" s="231" t="s">
        <v>422</v>
      </c>
      <c r="G21" s="231">
        <f>21.8+29.8</f>
        <v>51.6</v>
      </c>
      <c r="H21" s="145">
        <v>50.06</v>
      </c>
      <c r="I21" s="231" t="s">
        <v>505</v>
      </c>
      <c r="J21" s="151" t="s">
        <v>704</v>
      </c>
    </row>
    <row r="22" spans="1:10" ht="16.8" thickBot="1" x14ac:dyDescent="0.3">
      <c r="A22" s="474"/>
      <c r="B22" s="254" t="s">
        <v>35</v>
      </c>
      <c r="C22" s="255" t="s">
        <v>563</v>
      </c>
      <c r="D22" s="492" t="s">
        <v>562</v>
      </c>
      <c r="E22" s="492"/>
      <c r="F22" s="256" t="s">
        <v>521</v>
      </c>
      <c r="G22" s="256">
        <v>101.39999999999999</v>
      </c>
      <c r="H22" s="256">
        <v>101.39999999999999</v>
      </c>
      <c r="I22" s="256" t="s">
        <v>300</v>
      </c>
      <c r="J22" s="257" t="s">
        <v>564</v>
      </c>
    </row>
    <row r="23" spans="1:10" x14ac:dyDescent="0.25">
      <c r="A23" s="474"/>
      <c r="B23" s="494" t="s">
        <v>901</v>
      </c>
      <c r="C23" s="16" t="s">
        <v>464</v>
      </c>
      <c r="D23" s="490" t="s">
        <v>663</v>
      </c>
      <c r="E23" s="490"/>
      <c r="F23" s="60" t="s">
        <v>664</v>
      </c>
      <c r="G23" s="60">
        <f>29.9+15.9</f>
        <v>45.8</v>
      </c>
      <c r="H23" s="60">
        <f>29.9+15.9</f>
        <v>45.8</v>
      </c>
      <c r="I23" s="60" t="s">
        <v>465</v>
      </c>
      <c r="J23" s="152" t="s">
        <v>763</v>
      </c>
    </row>
    <row r="24" spans="1:10" x14ac:dyDescent="0.25">
      <c r="A24" s="474"/>
      <c r="B24" s="355"/>
      <c r="C24" s="224" t="s">
        <v>357</v>
      </c>
      <c r="D24" s="411" t="s">
        <v>666</v>
      </c>
      <c r="E24" s="411"/>
      <c r="F24" s="228" t="s">
        <v>667</v>
      </c>
      <c r="G24" s="228">
        <v>14.85</v>
      </c>
      <c r="H24" s="250">
        <v>14.85</v>
      </c>
      <c r="I24" s="228" t="s">
        <v>319</v>
      </c>
      <c r="J24" s="13" t="s">
        <v>764</v>
      </c>
    </row>
    <row r="25" spans="1:10" x14ac:dyDescent="0.25">
      <c r="A25" s="474"/>
      <c r="B25" s="355"/>
      <c r="C25" s="224" t="s">
        <v>22</v>
      </c>
      <c r="D25" s="411" t="s">
        <v>494</v>
      </c>
      <c r="E25" s="411"/>
      <c r="F25" s="228" t="s">
        <v>421</v>
      </c>
      <c r="G25" s="228">
        <v>29.8</v>
      </c>
      <c r="H25" s="245">
        <v>29.8</v>
      </c>
      <c r="I25" s="228" t="s">
        <v>436</v>
      </c>
      <c r="J25" s="13" t="s">
        <v>775</v>
      </c>
    </row>
    <row r="26" spans="1:10" x14ac:dyDescent="0.25">
      <c r="A26" s="474"/>
      <c r="B26" s="355"/>
      <c r="C26" s="224" t="s">
        <v>479</v>
      </c>
      <c r="D26" s="411" t="s">
        <v>480</v>
      </c>
      <c r="E26" s="411"/>
      <c r="F26" s="228" t="s">
        <v>421</v>
      </c>
      <c r="G26" s="228">
        <v>19.8</v>
      </c>
      <c r="H26" s="228">
        <v>19.8</v>
      </c>
      <c r="I26" s="412" t="s">
        <v>465</v>
      </c>
      <c r="J26" s="13" t="s">
        <v>482</v>
      </c>
    </row>
    <row r="27" spans="1:10" x14ac:dyDescent="0.25">
      <c r="A27" s="474"/>
      <c r="B27" s="355"/>
      <c r="C27" s="224" t="s">
        <v>476</v>
      </c>
      <c r="D27" s="411" t="s">
        <v>474</v>
      </c>
      <c r="E27" s="411"/>
      <c r="F27" s="228" t="s">
        <v>425</v>
      </c>
      <c r="G27" s="228">
        <v>33.9</v>
      </c>
      <c r="H27" s="228">
        <v>33.9</v>
      </c>
      <c r="I27" s="488"/>
      <c r="J27" s="13" t="s">
        <v>477</v>
      </c>
    </row>
    <row r="28" spans="1:10" x14ac:dyDescent="0.25">
      <c r="A28" s="474"/>
      <c r="B28" s="355"/>
      <c r="C28" s="224" t="s">
        <v>366</v>
      </c>
      <c r="D28" s="411" t="s">
        <v>469</v>
      </c>
      <c r="E28" s="411"/>
      <c r="F28" s="228" t="s">
        <v>468</v>
      </c>
      <c r="G28" s="228">
        <v>52.300000000000004</v>
      </c>
      <c r="H28" s="228">
        <v>52.300000000000004</v>
      </c>
      <c r="I28" s="488"/>
      <c r="J28" s="13" t="s">
        <v>473</v>
      </c>
    </row>
    <row r="29" spans="1:10" x14ac:dyDescent="0.25">
      <c r="A29" s="474"/>
      <c r="B29" s="355"/>
      <c r="C29" s="224" t="s">
        <v>470</v>
      </c>
      <c r="D29" s="411" t="s">
        <v>471</v>
      </c>
      <c r="E29" s="411"/>
      <c r="F29" s="228" t="s">
        <v>472</v>
      </c>
      <c r="G29" s="228">
        <v>17.8</v>
      </c>
      <c r="H29" s="228">
        <v>17.8</v>
      </c>
      <c r="I29" s="488"/>
      <c r="J29" s="13" t="s">
        <v>776</v>
      </c>
    </row>
    <row r="30" spans="1:10" x14ac:dyDescent="0.25">
      <c r="A30" s="474"/>
      <c r="B30" s="355"/>
      <c r="C30" s="224" t="s">
        <v>483</v>
      </c>
      <c r="D30" s="411" t="s">
        <v>484</v>
      </c>
      <c r="E30" s="411"/>
      <c r="F30" s="228" t="s">
        <v>463</v>
      </c>
      <c r="G30" s="228">
        <v>33.799999999999997</v>
      </c>
      <c r="H30" s="228">
        <v>33.799999999999997</v>
      </c>
      <c r="I30" s="488"/>
      <c r="J30" s="13" t="s">
        <v>778</v>
      </c>
    </row>
    <row r="31" spans="1:10" x14ac:dyDescent="0.25">
      <c r="A31" s="474"/>
      <c r="B31" s="355"/>
      <c r="C31" s="224" t="s">
        <v>487</v>
      </c>
      <c r="D31" s="411" t="s">
        <v>673</v>
      </c>
      <c r="E31" s="411"/>
      <c r="F31" s="228" t="s">
        <v>463</v>
      </c>
      <c r="G31" s="228">
        <v>33.9</v>
      </c>
      <c r="H31" s="228">
        <v>33.9</v>
      </c>
      <c r="I31" s="488"/>
      <c r="J31" s="13" t="s">
        <v>674</v>
      </c>
    </row>
    <row r="32" spans="1:10" x14ac:dyDescent="0.25">
      <c r="A32" s="474"/>
      <c r="B32" s="355"/>
      <c r="C32" s="224" t="s">
        <v>249</v>
      </c>
      <c r="D32" s="411" t="s">
        <v>490</v>
      </c>
      <c r="E32" s="411"/>
      <c r="F32" s="228" t="s">
        <v>491</v>
      </c>
      <c r="G32" s="228">
        <v>61.699999999999996</v>
      </c>
      <c r="H32" s="228">
        <v>61.699999999999996</v>
      </c>
      <c r="I32" s="488"/>
      <c r="J32" s="13" t="s">
        <v>492</v>
      </c>
    </row>
    <row r="33" spans="1:10" x14ac:dyDescent="0.25">
      <c r="A33" s="474"/>
      <c r="B33" s="355"/>
      <c r="C33" s="224" t="s">
        <v>206</v>
      </c>
      <c r="D33" s="411" t="s">
        <v>537</v>
      </c>
      <c r="E33" s="411"/>
      <c r="F33" s="228" t="s">
        <v>538</v>
      </c>
      <c r="G33" s="228">
        <v>39.799999999999997</v>
      </c>
      <c r="H33" s="228">
        <v>39.799999999999997</v>
      </c>
      <c r="I33" s="437"/>
      <c r="J33" s="13" t="s">
        <v>765</v>
      </c>
    </row>
    <row r="34" spans="1:10" x14ac:dyDescent="0.25">
      <c r="A34" s="474"/>
      <c r="B34" s="355"/>
      <c r="C34" s="224" t="s">
        <v>369</v>
      </c>
      <c r="D34" s="411" t="s">
        <v>522</v>
      </c>
      <c r="E34" s="411"/>
      <c r="F34" s="228" t="s">
        <v>501</v>
      </c>
      <c r="G34" s="228">
        <v>22.9</v>
      </c>
      <c r="H34" s="250">
        <v>22.9</v>
      </c>
      <c r="I34" s="228" t="s">
        <v>511</v>
      </c>
      <c r="J34" s="13" t="s">
        <v>774</v>
      </c>
    </row>
    <row r="35" spans="1:10" ht="16.2" thickBot="1" x14ac:dyDescent="0.3">
      <c r="A35" s="474"/>
      <c r="B35" s="356"/>
      <c r="C35" s="233" t="s">
        <v>94</v>
      </c>
      <c r="D35" s="463" t="s">
        <v>500</v>
      </c>
      <c r="E35" s="463"/>
      <c r="F35" s="231" t="s">
        <v>501</v>
      </c>
      <c r="G35" s="231">
        <v>21.8</v>
      </c>
      <c r="H35" s="145">
        <v>21.8</v>
      </c>
      <c r="I35" s="231" t="s">
        <v>648</v>
      </c>
      <c r="J35" s="151" t="s">
        <v>510</v>
      </c>
    </row>
    <row r="36" spans="1:10" ht="15.6" customHeight="1" x14ac:dyDescent="0.25">
      <c r="A36" s="474"/>
      <c r="B36" s="491" t="s">
        <v>900</v>
      </c>
      <c r="C36" s="16" t="s">
        <v>42</v>
      </c>
      <c r="D36" s="490" t="s">
        <v>517</v>
      </c>
      <c r="E36" s="490"/>
      <c r="F36" s="60" t="s">
        <v>518</v>
      </c>
      <c r="G36" s="60">
        <v>55</v>
      </c>
      <c r="H36" s="259">
        <v>54.99</v>
      </c>
      <c r="I36" s="60" t="s">
        <v>519</v>
      </c>
      <c r="J36" s="152" t="s">
        <v>768</v>
      </c>
    </row>
    <row r="37" spans="1:10" ht="15.6" customHeight="1" x14ac:dyDescent="0.25">
      <c r="A37" s="474"/>
      <c r="B37" s="365"/>
      <c r="C37" s="224" t="s">
        <v>87</v>
      </c>
      <c r="D37" s="411" t="s">
        <v>514</v>
      </c>
      <c r="E37" s="411"/>
      <c r="F37" s="228" t="s">
        <v>513</v>
      </c>
      <c r="G37" s="228">
        <v>13.9</v>
      </c>
      <c r="H37" s="273">
        <v>13.9</v>
      </c>
      <c r="I37" s="228" t="s">
        <v>558</v>
      </c>
      <c r="J37" s="13" t="s">
        <v>766</v>
      </c>
    </row>
    <row r="38" spans="1:10" ht="15.6" customHeight="1" x14ac:dyDescent="0.25">
      <c r="A38" s="474"/>
      <c r="B38" s="365"/>
      <c r="C38" s="224" t="s">
        <v>367</v>
      </c>
      <c r="D38" s="411" t="s">
        <v>892</v>
      </c>
      <c r="E38" s="411"/>
      <c r="F38" s="228" t="s">
        <v>496</v>
      </c>
      <c r="G38" s="228">
        <f>38.8+8.9</f>
        <v>47.699999999999996</v>
      </c>
      <c r="H38" s="228">
        <f>38.8+8.9</f>
        <v>47.699999999999996</v>
      </c>
      <c r="I38" s="412" t="s">
        <v>465</v>
      </c>
      <c r="J38" s="13" t="s">
        <v>769</v>
      </c>
    </row>
    <row r="39" spans="1:10" ht="15.6" customHeight="1" x14ac:dyDescent="0.25">
      <c r="A39" s="474"/>
      <c r="B39" s="365"/>
      <c r="C39" s="224" t="s">
        <v>43</v>
      </c>
      <c r="D39" s="411" t="s">
        <v>495</v>
      </c>
      <c r="E39" s="411"/>
      <c r="F39" s="228" t="s">
        <v>463</v>
      </c>
      <c r="G39" s="228">
        <f>16.8*2</f>
        <v>33.6</v>
      </c>
      <c r="H39" s="228">
        <f>16.8*2</f>
        <v>33.6</v>
      </c>
      <c r="I39" s="437"/>
      <c r="J39" s="13" t="s">
        <v>770</v>
      </c>
    </row>
    <row r="40" spans="1:10" ht="15.6" customHeight="1" x14ac:dyDescent="0.25">
      <c r="A40" s="474"/>
      <c r="B40" s="365"/>
      <c r="C40" s="224" t="s">
        <v>381</v>
      </c>
      <c r="D40" s="411" t="s">
        <v>591</v>
      </c>
      <c r="E40" s="411"/>
      <c r="F40" s="252"/>
      <c r="G40" s="252"/>
      <c r="H40" s="250"/>
      <c r="I40" s="228" t="s">
        <v>897</v>
      </c>
      <c r="J40" s="13" t="s">
        <v>782</v>
      </c>
    </row>
    <row r="41" spans="1:10" ht="15.6" customHeight="1" x14ac:dyDescent="0.25">
      <c r="A41" s="474"/>
      <c r="B41" s="365"/>
      <c r="C41" s="224" t="s">
        <v>310</v>
      </c>
      <c r="D41" s="411" t="s">
        <v>594</v>
      </c>
      <c r="E41" s="411"/>
      <c r="F41" s="228" t="s">
        <v>595</v>
      </c>
      <c r="G41" s="228">
        <v>50</v>
      </c>
      <c r="H41" s="250">
        <v>47</v>
      </c>
      <c r="I41" s="228" t="s">
        <v>596</v>
      </c>
      <c r="J41" s="13" t="s">
        <v>784</v>
      </c>
    </row>
    <row r="42" spans="1:10" ht="15.6" customHeight="1" x14ac:dyDescent="0.25">
      <c r="A42" s="474"/>
      <c r="B42" s="365"/>
      <c r="C42" s="224" t="s">
        <v>387</v>
      </c>
      <c r="D42" s="411" t="s">
        <v>601</v>
      </c>
      <c r="E42" s="411"/>
      <c r="F42" s="228" t="s">
        <v>602</v>
      </c>
      <c r="G42" s="228">
        <v>29.9</v>
      </c>
      <c r="H42" s="250">
        <v>29.9</v>
      </c>
      <c r="I42" s="228" t="s">
        <v>873</v>
      </c>
      <c r="J42" s="13" t="s">
        <v>786</v>
      </c>
    </row>
    <row r="43" spans="1:10" ht="15.6" customHeight="1" thickBot="1" x14ac:dyDescent="0.3">
      <c r="A43" s="474"/>
      <c r="B43" s="353"/>
      <c r="C43" s="233" t="s">
        <v>63</v>
      </c>
      <c r="D43" s="463" t="s">
        <v>798</v>
      </c>
      <c r="E43" s="463"/>
      <c r="F43" s="231" t="s">
        <v>799</v>
      </c>
      <c r="G43" s="231">
        <v>61.9</v>
      </c>
      <c r="H43" s="145">
        <v>63.9</v>
      </c>
      <c r="I43" s="231" t="s">
        <v>870</v>
      </c>
      <c r="J43" s="151" t="s">
        <v>800</v>
      </c>
    </row>
    <row r="44" spans="1:10" x14ac:dyDescent="0.25">
      <c r="A44" s="474"/>
      <c r="B44" s="355" t="s">
        <v>460</v>
      </c>
      <c r="C44" s="224" t="s">
        <v>541</v>
      </c>
      <c r="D44" s="411" t="s">
        <v>557</v>
      </c>
      <c r="E44" s="411"/>
      <c r="F44" s="228" t="s">
        <v>556</v>
      </c>
      <c r="G44" s="228">
        <v>21.8</v>
      </c>
      <c r="H44" s="273">
        <v>21.8</v>
      </c>
      <c r="I44" s="228" t="s">
        <v>558</v>
      </c>
      <c r="J44" s="13" t="s">
        <v>761</v>
      </c>
    </row>
    <row r="45" spans="1:10" x14ac:dyDescent="0.25">
      <c r="A45" s="474"/>
      <c r="B45" s="360"/>
      <c r="C45" s="269" t="s">
        <v>954</v>
      </c>
      <c r="D45" s="392" t="s">
        <v>955</v>
      </c>
      <c r="E45" s="393"/>
      <c r="F45" s="271" t="s">
        <v>956</v>
      </c>
      <c r="G45" s="271">
        <f>115*4-40</f>
        <v>420</v>
      </c>
      <c r="H45" s="271">
        <f>115*4-40</f>
        <v>420</v>
      </c>
      <c r="I45" s="271" t="s">
        <v>958</v>
      </c>
      <c r="J45" s="262" t="s">
        <v>957</v>
      </c>
    </row>
    <row r="46" spans="1:10" ht="16.2" thickBot="1" x14ac:dyDescent="0.3">
      <c r="A46" s="474"/>
      <c r="B46" s="356"/>
      <c r="C46" s="233" t="s">
        <v>611</v>
      </c>
      <c r="D46" s="463" t="s">
        <v>612</v>
      </c>
      <c r="E46" s="463"/>
      <c r="F46" s="231" t="s">
        <v>613</v>
      </c>
      <c r="G46" s="231">
        <v>54.7</v>
      </c>
      <c r="H46" s="145">
        <v>54.7</v>
      </c>
      <c r="I46" s="231" t="s">
        <v>615</v>
      </c>
      <c r="J46" s="151" t="s">
        <v>614</v>
      </c>
    </row>
    <row r="47" spans="1:10" x14ac:dyDescent="0.25">
      <c r="A47" s="474"/>
      <c r="B47" s="354" t="s">
        <v>49</v>
      </c>
      <c r="C47" s="16" t="s">
        <v>53</v>
      </c>
      <c r="D47" s="490" t="s">
        <v>591</v>
      </c>
      <c r="E47" s="490"/>
      <c r="F47" s="263"/>
      <c r="G47" s="263"/>
      <c r="H47" s="259"/>
      <c r="I47" s="263"/>
      <c r="J47" s="152" t="s">
        <v>795</v>
      </c>
    </row>
    <row r="48" spans="1:10" x14ac:dyDescent="0.25">
      <c r="A48" s="474"/>
      <c r="B48" s="355"/>
      <c r="C48" s="224" t="s">
        <v>534</v>
      </c>
      <c r="D48" s="411" t="s">
        <v>535</v>
      </c>
      <c r="E48" s="411"/>
      <c r="F48" s="228" t="s">
        <v>343</v>
      </c>
      <c r="G48" s="228">
        <v>9.9</v>
      </c>
      <c r="H48" s="250">
        <v>9.9</v>
      </c>
      <c r="I48" s="412" t="s">
        <v>536</v>
      </c>
      <c r="J48" s="13" t="s">
        <v>777</v>
      </c>
    </row>
    <row r="49" spans="1:10" x14ac:dyDescent="0.25">
      <c r="A49" s="474"/>
      <c r="B49" s="355"/>
      <c r="C49" s="224" t="s">
        <v>533</v>
      </c>
      <c r="D49" s="411" t="s">
        <v>649</v>
      </c>
      <c r="E49" s="411"/>
      <c r="F49" s="228" t="s">
        <v>650</v>
      </c>
      <c r="G49" s="228">
        <v>19.899999999999999</v>
      </c>
      <c r="H49" s="250">
        <v>19.899999999999999</v>
      </c>
      <c r="I49" s="437"/>
      <c r="J49" s="13" t="s">
        <v>781</v>
      </c>
    </row>
    <row r="50" spans="1:10" x14ac:dyDescent="0.25">
      <c r="A50" s="474"/>
      <c r="B50" s="355"/>
      <c r="C50" s="224" t="s">
        <v>802</v>
      </c>
      <c r="D50" s="411" t="s">
        <v>804</v>
      </c>
      <c r="E50" s="411"/>
      <c r="F50" s="228" t="s">
        <v>751</v>
      </c>
      <c r="G50" s="228">
        <v>27.6</v>
      </c>
      <c r="H50" s="250">
        <v>27.6</v>
      </c>
      <c r="I50" s="228" t="s">
        <v>803</v>
      </c>
      <c r="J50" s="13" t="s">
        <v>805</v>
      </c>
    </row>
    <row r="51" spans="1:10" x14ac:dyDescent="0.25">
      <c r="A51" s="474"/>
      <c r="B51" s="355"/>
      <c r="C51" s="224" t="s">
        <v>524</v>
      </c>
      <c r="D51" s="411" t="s">
        <v>671</v>
      </c>
      <c r="E51" s="411"/>
      <c r="F51" s="228" t="s">
        <v>702</v>
      </c>
      <c r="G51" s="228">
        <v>64.989999999999995</v>
      </c>
      <c r="H51" s="250">
        <v>62.99</v>
      </c>
      <c r="I51" s="228" t="s">
        <v>520</v>
      </c>
      <c r="J51" s="13" t="s">
        <v>703</v>
      </c>
    </row>
    <row r="52" spans="1:10" x14ac:dyDescent="0.25">
      <c r="A52" s="474"/>
      <c r="B52" s="355"/>
      <c r="C52" s="224" t="s">
        <v>525</v>
      </c>
      <c r="D52" s="411" t="s">
        <v>772</v>
      </c>
      <c r="E52" s="411"/>
      <c r="F52" s="228" t="s">
        <v>169</v>
      </c>
      <c r="G52" s="228">
        <v>72</v>
      </c>
      <c r="H52" s="250">
        <v>68</v>
      </c>
      <c r="I52" s="228" t="s">
        <v>309</v>
      </c>
      <c r="J52" s="13" t="s">
        <v>773</v>
      </c>
    </row>
    <row r="53" spans="1:10" x14ac:dyDescent="0.25">
      <c r="A53" s="474"/>
      <c r="B53" s="355"/>
      <c r="C53" s="224" t="s">
        <v>390</v>
      </c>
      <c r="D53" s="411" t="s">
        <v>604</v>
      </c>
      <c r="E53" s="411"/>
      <c r="F53" s="228" t="s">
        <v>341</v>
      </c>
      <c r="G53" s="228">
        <v>23.8</v>
      </c>
      <c r="H53" s="250">
        <v>23.8</v>
      </c>
      <c r="I53" s="228" t="s">
        <v>605</v>
      </c>
      <c r="J53" s="13" t="s">
        <v>787</v>
      </c>
    </row>
    <row r="54" spans="1:10" x14ac:dyDescent="0.25">
      <c r="A54" s="474"/>
      <c r="B54" s="355"/>
      <c r="C54" s="224" t="s">
        <v>597</v>
      </c>
      <c r="D54" s="411" t="s">
        <v>598</v>
      </c>
      <c r="E54" s="411"/>
      <c r="F54" s="228" t="s">
        <v>341</v>
      </c>
      <c r="G54" s="228">
        <v>13.5</v>
      </c>
      <c r="H54" s="250">
        <v>13.5</v>
      </c>
      <c r="I54" s="228" t="s">
        <v>599</v>
      </c>
      <c r="J54" s="13" t="s">
        <v>785</v>
      </c>
    </row>
    <row r="55" spans="1:10" x14ac:dyDescent="0.25">
      <c r="A55" s="474"/>
      <c r="B55" s="355"/>
      <c r="C55" s="224" t="s">
        <v>894</v>
      </c>
      <c r="D55" s="411" t="s">
        <v>893</v>
      </c>
      <c r="E55" s="411"/>
      <c r="F55" s="228" t="s">
        <v>169</v>
      </c>
      <c r="G55" s="228">
        <v>10.98</v>
      </c>
      <c r="H55" s="250">
        <f>10.98</f>
        <v>10.98</v>
      </c>
      <c r="I55" s="411" t="s">
        <v>578</v>
      </c>
      <c r="J55" s="13" t="s">
        <v>779</v>
      </c>
    </row>
    <row r="56" spans="1:10" x14ac:dyDescent="0.25">
      <c r="A56" s="474"/>
      <c r="B56" s="355"/>
      <c r="C56" s="224" t="s">
        <v>895</v>
      </c>
      <c r="D56" s="411" t="s">
        <v>672</v>
      </c>
      <c r="E56" s="411"/>
      <c r="F56" s="228" t="s">
        <v>422</v>
      </c>
      <c r="G56" s="228">
        <v>7.9</v>
      </c>
      <c r="H56" s="250">
        <f>7.9</f>
        <v>7.9</v>
      </c>
      <c r="I56" s="411"/>
      <c r="J56" s="13" t="s">
        <v>790</v>
      </c>
    </row>
    <row r="57" spans="1:10" ht="16.2" thickBot="1" x14ac:dyDescent="0.3">
      <c r="A57" s="474"/>
      <c r="B57" s="356"/>
      <c r="C57" s="233" t="s">
        <v>61</v>
      </c>
      <c r="D57" s="463" t="s">
        <v>896</v>
      </c>
      <c r="E57" s="463"/>
      <c r="F57" s="231" t="s">
        <v>792</v>
      </c>
      <c r="G57" s="231">
        <f>49.9*5</f>
        <v>249.5</v>
      </c>
      <c r="H57" s="231">
        <f>49.9*5</f>
        <v>249.5</v>
      </c>
      <c r="I57" s="231" t="s">
        <v>647</v>
      </c>
      <c r="J57" s="151" t="s">
        <v>780</v>
      </c>
    </row>
    <row r="58" spans="1:10" x14ac:dyDescent="0.25">
      <c r="A58" s="474"/>
      <c r="B58" s="354" t="s">
        <v>54</v>
      </c>
      <c r="C58" s="16" t="s">
        <v>56</v>
      </c>
      <c r="D58" s="490" t="s">
        <v>591</v>
      </c>
      <c r="E58" s="490"/>
      <c r="F58" s="60"/>
      <c r="G58" s="60"/>
      <c r="H58" s="259"/>
      <c r="I58" s="60" t="s">
        <v>300</v>
      </c>
      <c r="J58" s="152" t="s">
        <v>788</v>
      </c>
    </row>
    <row r="59" spans="1:10" x14ac:dyDescent="0.25">
      <c r="A59" s="474"/>
      <c r="B59" s="355"/>
      <c r="C59" s="224" t="s">
        <v>759</v>
      </c>
      <c r="D59" s="411" t="s">
        <v>801</v>
      </c>
      <c r="E59" s="411"/>
      <c r="F59" s="228" t="s">
        <v>760</v>
      </c>
      <c r="G59" s="228">
        <v>71.400000000000006</v>
      </c>
      <c r="H59" s="250">
        <v>71.400000000000006</v>
      </c>
      <c r="I59" s="228" t="s">
        <v>878</v>
      </c>
      <c r="J59" s="13" t="s">
        <v>789</v>
      </c>
    </row>
    <row r="60" spans="1:10" x14ac:dyDescent="0.25">
      <c r="A60" s="474"/>
      <c r="B60" s="355"/>
      <c r="C60" s="224" t="s">
        <v>57</v>
      </c>
      <c r="D60" s="411" t="s">
        <v>591</v>
      </c>
      <c r="E60" s="411"/>
      <c r="F60" s="228"/>
      <c r="G60" s="228"/>
      <c r="H60" s="250"/>
      <c r="I60" s="228" t="s">
        <v>300</v>
      </c>
      <c r="J60" s="13" t="s">
        <v>783</v>
      </c>
    </row>
    <row r="61" spans="1:10" ht="16.2" thickBot="1" x14ac:dyDescent="0.3">
      <c r="A61" s="474"/>
      <c r="B61" s="356"/>
      <c r="C61" s="233" t="s">
        <v>568</v>
      </c>
      <c r="D61" s="463" t="s">
        <v>569</v>
      </c>
      <c r="E61" s="463"/>
      <c r="F61" s="231" t="s">
        <v>570</v>
      </c>
      <c r="G61" s="231">
        <v>16.89</v>
      </c>
      <c r="H61" s="231">
        <v>16.89</v>
      </c>
      <c r="I61" s="231" t="s">
        <v>300</v>
      </c>
      <c r="J61" s="151" t="s">
        <v>571</v>
      </c>
    </row>
    <row r="62" spans="1:10" ht="16.2" customHeight="1" x14ac:dyDescent="0.25">
      <c r="A62" s="489" t="s">
        <v>65</v>
      </c>
      <c r="B62" s="352" t="s">
        <v>919</v>
      </c>
      <c r="C62" s="232" t="s">
        <v>912</v>
      </c>
      <c r="D62" s="490" t="s">
        <v>914</v>
      </c>
      <c r="E62" s="490"/>
      <c r="F62" s="229" t="s">
        <v>916</v>
      </c>
      <c r="G62" s="229">
        <v>3.2</v>
      </c>
      <c r="H62" s="229">
        <v>3.2</v>
      </c>
      <c r="I62" s="434" t="s">
        <v>933</v>
      </c>
      <c r="J62" s="150"/>
    </row>
    <row r="63" spans="1:10" ht="16.2" customHeight="1" x14ac:dyDescent="0.25">
      <c r="A63" s="440"/>
      <c r="B63" s="365"/>
      <c r="C63" s="224" t="s">
        <v>913</v>
      </c>
      <c r="D63" s="411" t="s">
        <v>915</v>
      </c>
      <c r="E63" s="411"/>
      <c r="F63" s="228" t="s">
        <v>916</v>
      </c>
      <c r="G63" s="228">
        <v>5.2</v>
      </c>
      <c r="H63" s="228">
        <v>5.2</v>
      </c>
      <c r="I63" s="488"/>
      <c r="J63" s="13"/>
    </row>
    <row r="64" spans="1:10" ht="16.2" customHeight="1" x14ac:dyDescent="0.25">
      <c r="A64" s="440"/>
      <c r="B64" s="361"/>
      <c r="C64" s="224" t="s">
        <v>918</v>
      </c>
      <c r="D64" s="411" t="s">
        <v>917</v>
      </c>
      <c r="E64" s="411"/>
      <c r="F64" s="228" t="s">
        <v>916</v>
      </c>
      <c r="G64" s="228">
        <v>9.5</v>
      </c>
      <c r="H64" s="228">
        <v>9.5</v>
      </c>
      <c r="I64" s="437"/>
      <c r="J64" s="13"/>
    </row>
    <row r="65" spans="1:10" ht="16.2" customHeight="1" x14ac:dyDescent="0.25">
      <c r="A65" s="440"/>
      <c r="B65" s="226" t="s">
        <v>929</v>
      </c>
      <c r="C65" s="224" t="s">
        <v>930</v>
      </c>
      <c r="D65" s="392" t="s">
        <v>935</v>
      </c>
      <c r="E65" s="393"/>
      <c r="F65" s="228" t="s">
        <v>934</v>
      </c>
      <c r="G65" s="228">
        <v>6.5</v>
      </c>
      <c r="H65" s="228">
        <v>6.5</v>
      </c>
      <c r="I65" s="228" t="s">
        <v>936</v>
      </c>
      <c r="J65" s="13"/>
    </row>
    <row r="66" spans="1:10" ht="16.2" customHeight="1" x14ac:dyDescent="0.25">
      <c r="A66" s="440"/>
      <c r="B66" s="360" t="s">
        <v>920</v>
      </c>
      <c r="C66" s="224" t="s">
        <v>921</v>
      </c>
      <c r="D66" s="411" t="s">
        <v>922</v>
      </c>
      <c r="E66" s="411"/>
      <c r="F66" s="228"/>
      <c r="G66" s="228">
        <v>11.25</v>
      </c>
      <c r="H66" s="228">
        <v>11.25</v>
      </c>
      <c r="I66" s="412" t="s">
        <v>932</v>
      </c>
      <c r="J66" s="13"/>
    </row>
    <row r="67" spans="1:10" ht="16.2" customHeight="1" x14ac:dyDescent="0.25">
      <c r="A67" s="440"/>
      <c r="B67" s="361"/>
      <c r="C67" s="224" t="s">
        <v>923</v>
      </c>
      <c r="D67" s="411" t="s">
        <v>924</v>
      </c>
      <c r="E67" s="411"/>
      <c r="F67" s="228"/>
      <c r="G67" s="228">
        <v>14.99</v>
      </c>
      <c r="H67" s="228">
        <v>14.99</v>
      </c>
      <c r="I67" s="488"/>
      <c r="J67" s="13"/>
    </row>
    <row r="68" spans="1:10" ht="16.2" x14ac:dyDescent="0.25">
      <c r="A68" s="407"/>
      <c r="B68" s="225" t="s">
        <v>925</v>
      </c>
      <c r="C68" s="224" t="s">
        <v>926</v>
      </c>
      <c r="D68" s="392" t="s">
        <v>927</v>
      </c>
      <c r="E68" s="393"/>
      <c r="F68" s="228" t="s">
        <v>928</v>
      </c>
      <c r="G68" s="228">
        <f>6.08*2</f>
        <v>12.16</v>
      </c>
      <c r="H68" s="228">
        <f>6.08*2</f>
        <v>12.16</v>
      </c>
      <c r="I68" s="437"/>
      <c r="J68" s="13"/>
    </row>
    <row r="69" spans="1:10" ht="16.2" customHeight="1" x14ac:dyDescent="0.25">
      <c r="A69" s="489" t="s">
        <v>931</v>
      </c>
      <c r="B69" s="486" t="s">
        <v>937</v>
      </c>
      <c r="C69" s="487"/>
      <c r="D69" s="487"/>
      <c r="E69" s="487"/>
      <c r="F69" s="487"/>
      <c r="G69" s="487"/>
      <c r="H69" s="250">
        <v>5</v>
      </c>
      <c r="I69" s="228" t="s">
        <v>939</v>
      </c>
      <c r="J69" s="13"/>
    </row>
    <row r="70" spans="1:10" ht="16.2" customHeight="1" x14ac:dyDescent="0.25">
      <c r="A70" s="407"/>
      <c r="B70" s="486" t="s">
        <v>938</v>
      </c>
      <c r="C70" s="487"/>
      <c r="D70" s="487"/>
      <c r="E70" s="487"/>
      <c r="F70" s="487"/>
      <c r="G70" s="487"/>
      <c r="H70" s="250">
        <v>3</v>
      </c>
      <c r="I70" s="228" t="s">
        <v>939</v>
      </c>
      <c r="J70" s="13"/>
    </row>
    <row r="71" spans="1:10" ht="16.2" x14ac:dyDescent="0.25">
      <c r="A71" s="234" t="s">
        <v>910</v>
      </c>
      <c r="B71" s="486" t="s">
        <v>911</v>
      </c>
      <c r="C71" s="487"/>
      <c r="D71" s="487"/>
      <c r="E71" s="487"/>
      <c r="F71" s="487"/>
      <c r="G71" s="487"/>
      <c r="H71" s="250">
        <v>9</v>
      </c>
      <c r="I71" s="228" t="s">
        <v>940</v>
      </c>
      <c r="J71" s="13"/>
    </row>
    <row r="72" spans="1:10" ht="27.6" customHeight="1" x14ac:dyDescent="0.25">
      <c r="A72" s="334" t="s">
        <v>448</v>
      </c>
      <c r="B72" s="335"/>
      <c r="C72" s="335"/>
      <c r="D72" s="335"/>
      <c r="E72" s="335"/>
      <c r="F72" s="335"/>
      <c r="G72" s="335"/>
      <c r="H72" s="261">
        <f>SUM(H3:H70)-H71</f>
        <v>2940.9599999999996</v>
      </c>
      <c r="I72" s="252"/>
      <c r="J72" s="252"/>
    </row>
    <row r="73" spans="1:10" x14ac:dyDescent="0.25">
      <c r="A73" s="355" t="s">
        <v>908</v>
      </c>
      <c r="B73" s="487" t="s">
        <v>902</v>
      </c>
      <c r="C73" s="487"/>
      <c r="D73" s="487"/>
      <c r="E73" s="487"/>
      <c r="F73" s="487"/>
      <c r="G73" s="487"/>
      <c r="H73" s="250">
        <f>H3+H4+H5+H6+H7+H21+H35</f>
        <v>311.66000000000003</v>
      </c>
      <c r="I73" s="252"/>
      <c r="J73" s="252"/>
    </row>
    <row r="74" spans="1:10" x14ac:dyDescent="0.25">
      <c r="A74" s="401"/>
      <c r="B74" s="487" t="s">
        <v>903</v>
      </c>
      <c r="C74" s="487"/>
      <c r="D74" s="487"/>
      <c r="E74" s="487"/>
      <c r="F74" s="487"/>
      <c r="G74" s="487"/>
      <c r="H74" s="250">
        <f>H20+H24+H34+H46+H52+H54</f>
        <v>209.45</v>
      </c>
      <c r="I74" s="252"/>
      <c r="J74" s="252"/>
    </row>
    <row r="75" spans="1:10" x14ac:dyDescent="0.25">
      <c r="A75" s="401"/>
      <c r="B75" s="487" t="s">
        <v>904</v>
      </c>
      <c r="C75" s="487"/>
      <c r="D75" s="487"/>
      <c r="E75" s="487"/>
      <c r="F75" s="487"/>
      <c r="G75" s="487"/>
      <c r="H75" s="250">
        <f>SUM(H8:H16,H36,H25)</f>
        <v>525.29000000000008</v>
      </c>
      <c r="I75" s="252"/>
      <c r="J75" s="252"/>
    </row>
    <row r="76" spans="1:10" x14ac:dyDescent="0.25">
      <c r="A76" s="401"/>
      <c r="B76" s="487" t="s">
        <v>905</v>
      </c>
      <c r="C76" s="487"/>
      <c r="D76" s="487"/>
      <c r="E76" s="487"/>
      <c r="F76" s="487"/>
      <c r="G76" s="487"/>
      <c r="H76" s="250">
        <f>H53+H23+H26+H27+H28+H29+H30+H31+H32+H33+H38+H39-H71</f>
        <v>434.9</v>
      </c>
      <c r="I76" s="252"/>
      <c r="J76" s="252"/>
    </row>
    <row r="77" spans="1:10" x14ac:dyDescent="0.25">
      <c r="A77" s="401"/>
      <c r="B77" s="487" t="s">
        <v>906</v>
      </c>
      <c r="C77" s="487"/>
      <c r="D77" s="487"/>
      <c r="E77" s="487"/>
      <c r="F77" s="487"/>
      <c r="G77" s="487"/>
      <c r="H77" s="250">
        <f>H41+H42+H48+H49+H57+H51</f>
        <v>419.19000000000005</v>
      </c>
      <c r="I77" s="252"/>
      <c r="J77" s="252"/>
    </row>
    <row r="78" spans="1:10" x14ac:dyDescent="0.25">
      <c r="A78" s="401"/>
      <c r="B78" s="487" t="s">
        <v>907</v>
      </c>
      <c r="C78" s="487"/>
      <c r="D78" s="487"/>
      <c r="E78" s="487"/>
      <c r="F78" s="487"/>
      <c r="G78" s="487"/>
      <c r="H78" s="250">
        <f>SUM(H61:H70,H59,H55:H56,H50,H22,H19,H43,H37,H44,H17,H18,H45)</f>
        <v>1040.4699999999998</v>
      </c>
      <c r="I78" s="252"/>
      <c r="J78" s="252"/>
    </row>
    <row r="79" spans="1:10" ht="23.4" customHeight="1" x14ac:dyDescent="0.25">
      <c r="A79" s="334" t="s">
        <v>909</v>
      </c>
      <c r="B79" s="335"/>
      <c r="C79" s="335"/>
      <c r="D79" s="335"/>
      <c r="E79" s="335"/>
      <c r="F79" s="335"/>
      <c r="G79" s="335"/>
      <c r="H79" s="261">
        <f>SUM(H73:H78)</f>
        <v>2940.96</v>
      </c>
      <c r="I79" s="252"/>
      <c r="J79" s="252"/>
    </row>
  </sheetData>
  <mergeCells count="106">
    <mergeCell ref="J3:J5"/>
    <mergeCell ref="D4:E4"/>
    <mergeCell ref="D5:E5"/>
    <mergeCell ref="D6:E6"/>
    <mergeCell ref="D7:E7"/>
    <mergeCell ref="I8:I16"/>
    <mergeCell ref="J8:J11"/>
    <mergeCell ref="D9:E9"/>
    <mergeCell ref="D10:E10"/>
    <mergeCell ref="D12:E12"/>
    <mergeCell ref="J12:J16"/>
    <mergeCell ref="D13:E13"/>
    <mergeCell ref="D14:E14"/>
    <mergeCell ref="D15:E15"/>
    <mergeCell ref="B44:B46"/>
    <mergeCell ref="B47:B57"/>
    <mergeCell ref="B58:B61"/>
    <mergeCell ref="B73:G73"/>
    <mergeCell ref="B74:G74"/>
    <mergeCell ref="D16:E16"/>
    <mergeCell ref="A2:B2"/>
    <mergeCell ref="B20:B21"/>
    <mergeCell ref="B23:B35"/>
    <mergeCell ref="D20:E20"/>
    <mergeCell ref="D27:E27"/>
    <mergeCell ref="D28:E28"/>
    <mergeCell ref="A20:A61"/>
    <mergeCell ref="D8:E8"/>
    <mergeCell ref="B3:B5"/>
    <mergeCell ref="B6:B7"/>
    <mergeCell ref="B8:B11"/>
    <mergeCell ref="B12:B16"/>
    <mergeCell ref="D3:E3"/>
    <mergeCell ref="D19:E19"/>
    <mergeCell ref="A3:A19"/>
    <mergeCell ref="D23:E23"/>
    <mergeCell ref="D39:E39"/>
    <mergeCell ref="D35:E35"/>
    <mergeCell ref="D21:E21"/>
    <mergeCell ref="D24:E24"/>
    <mergeCell ref="D33:E33"/>
    <mergeCell ref="D37:E37"/>
    <mergeCell ref="D36:E36"/>
    <mergeCell ref="D56:E56"/>
    <mergeCell ref="D38:E38"/>
    <mergeCell ref="D32:E32"/>
    <mergeCell ref="D34:E34"/>
    <mergeCell ref="D52:E52"/>
    <mergeCell ref="D25:E25"/>
    <mergeCell ref="D29:E29"/>
    <mergeCell ref="D26:E26"/>
    <mergeCell ref="D30:E30"/>
    <mergeCell ref="D48:E48"/>
    <mergeCell ref="D44:E44"/>
    <mergeCell ref="D45:E45"/>
    <mergeCell ref="D22:E22"/>
    <mergeCell ref="D43:E43"/>
    <mergeCell ref="D55:E55"/>
    <mergeCell ref="B75:G75"/>
    <mergeCell ref="B76:G76"/>
    <mergeCell ref="B77:G77"/>
    <mergeCell ref="B78:G78"/>
    <mergeCell ref="A73:A78"/>
    <mergeCell ref="A79:G79"/>
    <mergeCell ref="B36:B43"/>
    <mergeCell ref="A72:G72"/>
    <mergeCell ref="B71:G71"/>
    <mergeCell ref="D66:E66"/>
    <mergeCell ref="D61:E61"/>
    <mergeCell ref="D42:E42"/>
    <mergeCell ref="D53:E53"/>
    <mergeCell ref="D58:E58"/>
    <mergeCell ref="D59:E59"/>
    <mergeCell ref="D50:E50"/>
    <mergeCell ref="D46:E46"/>
    <mergeCell ref="D47:E47"/>
    <mergeCell ref="D57:E57"/>
    <mergeCell ref="D49:E49"/>
    <mergeCell ref="D60:E60"/>
    <mergeCell ref="D41:E41"/>
    <mergeCell ref="D54:E54"/>
    <mergeCell ref="D40:E40"/>
    <mergeCell ref="B17:B19"/>
    <mergeCell ref="D17:E17"/>
    <mergeCell ref="D18:E18"/>
    <mergeCell ref="A1:E1"/>
    <mergeCell ref="B70:G70"/>
    <mergeCell ref="I66:I68"/>
    <mergeCell ref="I62:I64"/>
    <mergeCell ref="A69:A70"/>
    <mergeCell ref="D67:E67"/>
    <mergeCell ref="D68:E68"/>
    <mergeCell ref="A62:A68"/>
    <mergeCell ref="B66:B67"/>
    <mergeCell ref="D65:E65"/>
    <mergeCell ref="B69:G69"/>
    <mergeCell ref="I38:I39"/>
    <mergeCell ref="I48:I49"/>
    <mergeCell ref="D62:E62"/>
    <mergeCell ref="D63:E63"/>
    <mergeCell ref="D64:E64"/>
    <mergeCell ref="B62:B64"/>
    <mergeCell ref="I55:I56"/>
    <mergeCell ref="D31:E31"/>
    <mergeCell ref="I26:I33"/>
    <mergeCell ref="D51:E5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C4C72-CAC0-4352-9B93-90F9480D1B4D}">
  <dimension ref="A1:Q82"/>
  <sheetViews>
    <sheetView tabSelected="1" topLeftCell="A58" workbookViewId="0">
      <selection activeCell="I74" sqref="I74"/>
    </sheetView>
  </sheetViews>
  <sheetFormatPr defaultRowHeight="15.6" x14ac:dyDescent="0.25"/>
  <cols>
    <col min="1" max="1" width="7.21875" customWidth="1"/>
    <col min="2" max="2" width="10.44140625" customWidth="1"/>
    <col min="3" max="3" width="19.44140625" customWidth="1"/>
    <col min="4" max="4" width="29.33203125" customWidth="1"/>
    <col min="5" max="5" width="33.44140625" customWidth="1"/>
    <col min="8" max="8" width="9.44140625" style="251" bestFit="1" customWidth="1"/>
    <col min="9" max="9" width="9.44140625" style="251" customWidth="1"/>
    <col min="10" max="10" width="17.6640625" customWidth="1"/>
    <col min="11" max="11" width="55.33203125" customWidth="1"/>
  </cols>
  <sheetData>
    <row r="1" spans="1:17" s="1" customFormat="1" ht="36" customHeight="1" x14ac:dyDescent="0.25">
      <c r="A1" s="446" t="s">
        <v>980</v>
      </c>
      <c r="B1" s="446"/>
      <c r="C1" s="446"/>
      <c r="D1" s="446"/>
      <c r="E1" s="446"/>
      <c r="F1" s="304"/>
      <c r="G1" s="304"/>
      <c r="H1" s="304"/>
      <c r="I1" s="304"/>
      <c r="J1" s="304"/>
      <c r="K1" s="304"/>
      <c r="L1" s="63"/>
      <c r="M1" s="63"/>
      <c r="N1" s="63"/>
      <c r="O1" s="63"/>
      <c r="P1" s="63"/>
      <c r="Q1" s="54"/>
    </row>
    <row r="2" spans="1:17" s="1" customFormat="1" ht="25.8" customHeight="1" x14ac:dyDescent="0.25">
      <c r="A2" s="468" t="s">
        <v>364</v>
      </c>
      <c r="B2" s="469"/>
      <c r="C2" s="202" t="s">
        <v>69</v>
      </c>
      <c r="D2" s="203" t="s">
        <v>411</v>
      </c>
      <c r="E2" s="218" t="s">
        <v>410</v>
      </c>
      <c r="F2" s="219" t="s">
        <v>408</v>
      </c>
      <c r="G2" s="219" t="s">
        <v>409</v>
      </c>
      <c r="H2" s="219" t="s">
        <v>890</v>
      </c>
      <c r="I2" s="299" t="s">
        <v>981</v>
      </c>
      <c r="J2" s="182" t="s">
        <v>133</v>
      </c>
      <c r="K2" s="215" t="s">
        <v>70</v>
      </c>
    </row>
    <row r="3" spans="1:17" ht="15.6" customHeight="1" x14ac:dyDescent="0.25">
      <c r="A3" s="498" t="s">
        <v>899</v>
      </c>
      <c r="B3" s="465" t="s">
        <v>392</v>
      </c>
      <c r="C3" s="281" t="s">
        <v>339</v>
      </c>
      <c r="D3" s="411" t="s">
        <v>447</v>
      </c>
      <c r="E3" s="437"/>
      <c r="F3" s="288" t="s">
        <v>445</v>
      </c>
      <c r="G3" s="283">
        <v>11.8</v>
      </c>
      <c r="H3" s="250">
        <v>11.8</v>
      </c>
      <c r="I3" s="250"/>
      <c r="J3" s="294" t="s">
        <v>443</v>
      </c>
      <c r="K3" s="350" t="s">
        <v>796</v>
      </c>
    </row>
    <row r="4" spans="1:17" ht="15.6" customHeight="1" x14ac:dyDescent="0.25">
      <c r="A4" s="499"/>
      <c r="B4" s="401"/>
      <c r="C4" s="276" t="s">
        <v>3</v>
      </c>
      <c r="D4" s="411" t="s">
        <v>891</v>
      </c>
      <c r="E4" s="411"/>
      <c r="F4" s="283" t="s">
        <v>441</v>
      </c>
      <c r="G4" s="283">
        <v>14.8</v>
      </c>
      <c r="H4" s="250">
        <v>14.01</v>
      </c>
      <c r="I4" s="250"/>
      <c r="J4" s="294" t="s">
        <v>442</v>
      </c>
      <c r="K4" s="350"/>
    </row>
    <row r="5" spans="1:17" ht="16.2" customHeight="1" thickBot="1" x14ac:dyDescent="0.3">
      <c r="A5" s="499"/>
      <c r="B5" s="404"/>
      <c r="C5" s="293" t="s">
        <v>444</v>
      </c>
      <c r="D5" s="463" t="s">
        <v>446</v>
      </c>
      <c r="E5" s="463"/>
      <c r="F5" s="292" t="s">
        <v>445</v>
      </c>
      <c r="G5" s="292">
        <v>24.8</v>
      </c>
      <c r="H5" s="145">
        <v>24.8</v>
      </c>
      <c r="I5" s="145"/>
      <c r="J5" s="248" t="s">
        <v>443</v>
      </c>
      <c r="K5" s="501"/>
    </row>
    <row r="6" spans="1:17" ht="15.6" customHeight="1" x14ac:dyDescent="0.25">
      <c r="A6" s="499"/>
      <c r="B6" s="464" t="s">
        <v>5</v>
      </c>
      <c r="C6" s="16" t="s">
        <v>340</v>
      </c>
      <c r="D6" s="394" t="s">
        <v>438</v>
      </c>
      <c r="E6" s="395"/>
      <c r="F6" s="296" t="s">
        <v>439</v>
      </c>
      <c r="G6" s="296">
        <v>52.8</v>
      </c>
      <c r="H6" s="259">
        <v>52.8</v>
      </c>
      <c r="I6" s="259"/>
      <c r="J6" s="267" t="s">
        <v>437</v>
      </c>
      <c r="K6" s="152" t="s">
        <v>451</v>
      </c>
    </row>
    <row r="7" spans="1:17" ht="16.2" customHeight="1" thickBot="1" x14ac:dyDescent="0.3">
      <c r="A7" s="499"/>
      <c r="B7" s="404"/>
      <c r="C7" s="305" t="s">
        <v>8</v>
      </c>
      <c r="D7" s="459" t="s">
        <v>432</v>
      </c>
      <c r="E7" s="460"/>
      <c r="F7" s="292" t="s">
        <v>169</v>
      </c>
      <c r="G7" s="292">
        <f>115.8+29.8</f>
        <v>145.6</v>
      </c>
      <c r="H7" s="145">
        <f>108.59+27.8</f>
        <v>136.39000000000001</v>
      </c>
      <c r="I7" s="306">
        <v>145.6</v>
      </c>
      <c r="J7" s="248" t="s">
        <v>435</v>
      </c>
      <c r="K7" s="151" t="s">
        <v>452</v>
      </c>
    </row>
    <row r="8" spans="1:17" ht="15.6" customHeight="1" x14ac:dyDescent="0.25">
      <c r="A8" s="499"/>
      <c r="B8" s="407" t="s">
        <v>15</v>
      </c>
      <c r="C8" s="307" t="s">
        <v>412</v>
      </c>
      <c r="D8" s="442" t="s">
        <v>413</v>
      </c>
      <c r="E8" s="443"/>
      <c r="F8" s="288" t="s">
        <v>422</v>
      </c>
      <c r="G8" s="288">
        <f>68+34.8</f>
        <v>102.8</v>
      </c>
      <c r="H8" s="288">
        <f>68+34.8</f>
        <v>102.8</v>
      </c>
      <c r="I8" s="308">
        <f>68+34.8</f>
        <v>102.8</v>
      </c>
      <c r="J8" s="502" t="s">
        <v>436</v>
      </c>
      <c r="K8" s="503" t="s">
        <v>453</v>
      </c>
    </row>
    <row r="9" spans="1:17" ht="15.6" customHeight="1" x14ac:dyDescent="0.25">
      <c r="A9" s="499"/>
      <c r="B9" s="401"/>
      <c r="C9" s="309" t="s">
        <v>415</v>
      </c>
      <c r="D9" s="392" t="s">
        <v>417</v>
      </c>
      <c r="E9" s="393"/>
      <c r="F9" s="283" t="s">
        <v>422</v>
      </c>
      <c r="G9" s="283">
        <f>56+28.8</f>
        <v>84.8</v>
      </c>
      <c r="H9" s="283">
        <f>56+28.8</f>
        <v>84.8</v>
      </c>
      <c r="I9" s="310">
        <f>56+28.8</f>
        <v>84.8</v>
      </c>
      <c r="J9" s="462"/>
      <c r="K9" s="350"/>
    </row>
    <row r="10" spans="1:17" ht="15.6" customHeight="1" x14ac:dyDescent="0.25">
      <c r="A10" s="499"/>
      <c r="B10" s="401"/>
      <c r="C10" s="309" t="s">
        <v>418</v>
      </c>
      <c r="D10" s="392" t="s">
        <v>419</v>
      </c>
      <c r="E10" s="393"/>
      <c r="F10" s="283" t="s">
        <v>422</v>
      </c>
      <c r="G10" s="283">
        <f>22.8+12.8</f>
        <v>35.6</v>
      </c>
      <c r="H10" s="283">
        <f>22.8+12.8</f>
        <v>35.6</v>
      </c>
      <c r="I10" s="310">
        <f>22.8+12.8</f>
        <v>35.6</v>
      </c>
      <c r="J10" s="462"/>
      <c r="K10" s="350"/>
    </row>
    <row r="11" spans="1:17" ht="16.2" customHeight="1" thickBot="1" x14ac:dyDescent="0.3">
      <c r="A11" s="499"/>
      <c r="B11" s="404"/>
      <c r="C11" s="311" t="s">
        <v>344</v>
      </c>
      <c r="D11" s="292" t="s">
        <v>421</v>
      </c>
      <c r="E11" s="292">
        <v>24.8</v>
      </c>
      <c r="F11" s="292" t="s">
        <v>421</v>
      </c>
      <c r="G11" s="292">
        <v>24.8</v>
      </c>
      <c r="H11" s="292">
        <v>24.8</v>
      </c>
      <c r="I11" s="312">
        <v>24.8</v>
      </c>
      <c r="J11" s="462"/>
      <c r="K11" s="501"/>
    </row>
    <row r="12" spans="1:17" ht="15.6" customHeight="1" x14ac:dyDescent="0.25">
      <c r="A12" s="499"/>
      <c r="B12" s="405" t="s">
        <v>9</v>
      </c>
      <c r="C12" s="313" t="s">
        <v>424</v>
      </c>
      <c r="D12" s="394" t="s">
        <v>426</v>
      </c>
      <c r="E12" s="395"/>
      <c r="F12" s="296" t="s">
        <v>425</v>
      </c>
      <c r="G12" s="296">
        <f>28.8*2</f>
        <v>57.6</v>
      </c>
      <c r="H12" s="296">
        <f>28.8*2</f>
        <v>57.6</v>
      </c>
      <c r="I12" s="314">
        <f>28.8*2</f>
        <v>57.6</v>
      </c>
      <c r="J12" s="462"/>
      <c r="K12" s="503" t="s">
        <v>455</v>
      </c>
    </row>
    <row r="13" spans="1:17" ht="15.6" customHeight="1" x14ac:dyDescent="0.25">
      <c r="A13" s="499"/>
      <c r="B13" s="401"/>
      <c r="C13" s="309" t="s">
        <v>159</v>
      </c>
      <c r="D13" s="392" t="s">
        <v>429</v>
      </c>
      <c r="E13" s="393"/>
      <c r="F13" s="283" t="s">
        <v>421</v>
      </c>
      <c r="G13" s="283">
        <f>18.8</f>
        <v>18.8</v>
      </c>
      <c r="H13" s="283">
        <f>18.8</f>
        <v>18.8</v>
      </c>
      <c r="I13" s="310">
        <f>18.8</f>
        <v>18.8</v>
      </c>
      <c r="J13" s="462"/>
      <c r="K13" s="351"/>
    </row>
    <row r="14" spans="1:17" ht="15.6" customHeight="1" x14ac:dyDescent="0.25">
      <c r="A14" s="499"/>
      <c r="B14" s="401"/>
      <c r="C14" s="309" t="s">
        <v>10</v>
      </c>
      <c r="D14" s="392" t="s">
        <v>428</v>
      </c>
      <c r="E14" s="393"/>
      <c r="F14" s="283" t="s">
        <v>421</v>
      </c>
      <c r="G14" s="283">
        <f>42.9</f>
        <v>42.9</v>
      </c>
      <c r="H14" s="283">
        <f>42.9</f>
        <v>42.9</v>
      </c>
      <c r="I14" s="310">
        <f>42.9</f>
        <v>42.9</v>
      </c>
      <c r="J14" s="462"/>
      <c r="K14" s="351"/>
    </row>
    <row r="15" spans="1:17" ht="15.6" customHeight="1" x14ac:dyDescent="0.25">
      <c r="A15" s="499"/>
      <c r="B15" s="401"/>
      <c r="C15" s="309" t="s">
        <v>13</v>
      </c>
      <c r="D15" s="392" t="s">
        <v>431</v>
      </c>
      <c r="E15" s="393"/>
      <c r="F15" s="283" t="s">
        <v>348</v>
      </c>
      <c r="G15" s="283">
        <f>9.8*2</f>
        <v>19.600000000000001</v>
      </c>
      <c r="H15" s="283">
        <f>9.8*2</f>
        <v>19.600000000000001</v>
      </c>
      <c r="I15" s="310">
        <f>9.8*2</f>
        <v>19.600000000000001</v>
      </c>
      <c r="J15" s="462"/>
      <c r="K15" s="351"/>
    </row>
    <row r="16" spans="1:17" ht="16.2" customHeight="1" thickBot="1" x14ac:dyDescent="0.3">
      <c r="A16" s="499"/>
      <c r="B16" s="404"/>
      <c r="C16" s="311" t="s">
        <v>12</v>
      </c>
      <c r="D16" s="459" t="s">
        <v>430</v>
      </c>
      <c r="E16" s="460"/>
      <c r="F16" s="292" t="s">
        <v>421</v>
      </c>
      <c r="G16" s="292">
        <f>26.8*2</f>
        <v>53.6</v>
      </c>
      <c r="H16" s="292">
        <f>26.8*2</f>
        <v>53.6</v>
      </c>
      <c r="I16" s="312">
        <f>26.8*2</f>
        <v>53.6</v>
      </c>
      <c r="J16" s="462"/>
      <c r="K16" s="504"/>
    </row>
    <row r="17" spans="1:11" ht="16.2" customHeight="1" x14ac:dyDescent="0.25">
      <c r="A17" s="499"/>
      <c r="B17" s="483" t="s">
        <v>65</v>
      </c>
      <c r="C17" s="16" t="s">
        <v>959</v>
      </c>
      <c r="D17" s="394" t="s">
        <v>961</v>
      </c>
      <c r="E17" s="395"/>
      <c r="F17" s="296" t="s">
        <v>962</v>
      </c>
      <c r="G17" s="296">
        <v>49</v>
      </c>
      <c r="H17" s="296">
        <v>49</v>
      </c>
      <c r="I17" s="298"/>
      <c r="J17" s="274" t="s">
        <v>965</v>
      </c>
      <c r="K17" s="152" t="s">
        <v>966</v>
      </c>
    </row>
    <row r="18" spans="1:11" ht="16.2" customHeight="1" x14ac:dyDescent="0.25">
      <c r="A18" s="499"/>
      <c r="B18" s="484"/>
      <c r="C18" s="276" t="s">
        <v>960</v>
      </c>
      <c r="D18" s="392" t="s">
        <v>963</v>
      </c>
      <c r="E18" s="393"/>
      <c r="F18" s="283" t="s">
        <v>655</v>
      </c>
      <c r="G18" s="283">
        <v>135</v>
      </c>
      <c r="H18" s="283">
        <v>135</v>
      </c>
      <c r="I18" s="283"/>
      <c r="J18" s="274" t="s">
        <v>964</v>
      </c>
      <c r="K18" s="13" t="s">
        <v>967</v>
      </c>
    </row>
    <row r="19" spans="1:11" s="1" customFormat="1" ht="16.2" customHeight="1" thickBot="1" x14ac:dyDescent="0.3">
      <c r="A19" s="500"/>
      <c r="B19" s="485"/>
      <c r="C19" s="264" t="s">
        <v>85</v>
      </c>
      <c r="D19" s="496" t="s">
        <v>968</v>
      </c>
      <c r="E19" s="497"/>
      <c r="F19" s="265" t="s">
        <v>463</v>
      </c>
      <c r="G19" s="265">
        <v>29.9</v>
      </c>
      <c r="H19" s="266">
        <v>29.9</v>
      </c>
      <c r="I19" s="266"/>
      <c r="J19" s="249" t="s">
        <v>797</v>
      </c>
      <c r="K19" s="13" t="s">
        <v>969</v>
      </c>
    </row>
    <row r="20" spans="1:11" ht="16.2" thickTop="1" x14ac:dyDescent="0.25">
      <c r="A20" s="436" t="s">
        <v>898</v>
      </c>
      <c r="B20" s="493" t="s">
        <v>30</v>
      </c>
      <c r="C20" s="66" t="s">
        <v>38</v>
      </c>
      <c r="D20" s="495" t="s">
        <v>507</v>
      </c>
      <c r="E20" s="495"/>
      <c r="F20" s="295" t="s">
        <v>508</v>
      </c>
      <c r="G20" s="295">
        <f>21.9+13.6</f>
        <v>35.5</v>
      </c>
      <c r="H20" s="295">
        <f>21.9+13.6</f>
        <v>35.5</v>
      </c>
      <c r="I20" s="295"/>
      <c r="J20" s="295" t="s">
        <v>319</v>
      </c>
      <c r="K20" s="253" t="s">
        <v>509</v>
      </c>
    </row>
    <row r="21" spans="1:11" ht="16.2" thickBot="1" x14ac:dyDescent="0.3">
      <c r="A21" s="474"/>
      <c r="B21" s="356"/>
      <c r="C21" s="293" t="s">
        <v>146</v>
      </c>
      <c r="D21" s="463" t="s">
        <v>762</v>
      </c>
      <c r="E21" s="463"/>
      <c r="F21" s="292" t="s">
        <v>422</v>
      </c>
      <c r="G21" s="292">
        <f>21.8+29.8</f>
        <v>51.6</v>
      </c>
      <c r="H21" s="145">
        <v>50.06</v>
      </c>
      <c r="I21" s="145"/>
      <c r="J21" s="292" t="s">
        <v>505</v>
      </c>
      <c r="K21" s="151" t="s">
        <v>704</v>
      </c>
    </row>
    <row r="22" spans="1:11" ht="16.8" thickBot="1" x14ac:dyDescent="0.3">
      <c r="A22" s="474"/>
      <c r="B22" s="254" t="s">
        <v>35</v>
      </c>
      <c r="C22" s="255" t="s">
        <v>563</v>
      </c>
      <c r="D22" s="492" t="s">
        <v>562</v>
      </c>
      <c r="E22" s="492"/>
      <c r="F22" s="297" t="s">
        <v>521</v>
      </c>
      <c r="G22" s="297">
        <v>101.39999999999999</v>
      </c>
      <c r="H22" s="297">
        <v>101.39999999999999</v>
      </c>
      <c r="I22" s="297"/>
      <c r="J22" s="297" t="s">
        <v>300</v>
      </c>
      <c r="K22" s="257" t="s">
        <v>564</v>
      </c>
    </row>
    <row r="23" spans="1:11" x14ac:dyDescent="0.25">
      <c r="A23" s="474"/>
      <c r="B23" s="494" t="s">
        <v>901</v>
      </c>
      <c r="C23" s="315" t="s">
        <v>464</v>
      </c>
      <c r="D23" s="490" t="s">
        <v>663</v>
      </c>
      <c r="E23" s="490"/>
      <c r="F23" s="296" t="s">
        <v>664</v>
      </c>
      <c r="G23" s="296">
        <f>29.9+15.9</f>
        <v>45.8</v>
      </c>
      <c r="H23" s="296">
        <f>29.9+15.9</f>
        <v>45.8</v>
      </c>
      <c r="I23" s="314">
        <v>42.8</v>
      </c>
      <c r="J23" s="296" t="s">
        <v>465</v>
      </c>
      <c r="K23" s="152" t="s">
        <v>763</v>
      </c>
    </row>
    <row r="24" spans="1:11" x14ac:dyDescent="0.25">
      <c r="A24" s="474"/>
      <c r="B24" s="355"/>
      <c r="C24" s="276" t="s">
        <v>357</v>
      </c>
      <c r="D24" s="411" t="s">
        <v>666</v>
      </c>
      <c r="E24" s="411"/>
      <c r="F24" s="283" t="s">
        <v>667</v>
      </c>
      <c r="G24" s="283">
        <v>14.85</v>
      </c>
      <c r="H24" s="250">
        <v>14.85</v>
      </c>
      <c r="I24" s="250"/>
      <c r="J24" s="283" t="s">
        <v>319</v>
      </c>
      <c r="K24" s="13" t="s">
        <v>764</v>
      </c>
    </row>
    <row r="25" spans="1:11" x14ac:dyDescent="0.25">
      <c r="A25" s="474"/>
      <c r="B25" s="355"/>
      <c r="C25" s="316" t="s">
        <v>22</v>
      </c>
      <c r="D25" s="411" t="s">
        <v>494</v>
      </c>
      <c r="E25" s="411"/>
      <c r="F25" s="283" t="s">
        <v>421</v>
      </c>
      <c r="G25" s="283">
        <v>29.8</v>
      </c>
      <c r="H25" s="283">
        <v>29.8</v>
      </c>
      <c r="I25" s="310">
        <v>29.8</v>
      </c>
      <c r="J25" s="283" t="s">
        <v>436</v>
      </c>
      <c r="K25" s="13" t="s">
        <v>775</v>
      </c>
    </row>
    <row r="26" spans="1:11" x14ac:dyDescent="0.25">
      <c r="A26" s="474"/>
      <c r="B26" s="355"/>
      <c r="C26" s="317" t="s">
        <v>479</v>
      </c>
      <c r="D26" s="411" t="s">
        <v>480</v>
      </c>
      <c r="E26" s="411"/>
      <c r="F26" s="283" t="s">
        <v>421</v>
      </c>
      <c r="G26" s="283">
        <v>19.8</v>
      </c>
      <c r="H26" s="283">
        <v>19.8</v>
      </c>
      <c r="I26" s="310">
        <v>19.8</v>
      </c>
      <c r="J26" s="412" t="s">
        <v>465</v>
      </c>
      <c r="K26" s="13" t="s">
        <v>482</v>
      </c>
    </row>
    <row r="27" spans="1:11" x14ac:dyDescent="0.25">
      <c r="A27" s="474"/>
      <c r="B27" s="355"/>
      <c r="C27" s="309" t="s">
        <v>476</v>
      </c>
      <c r="D27" s="411" t="s">
        <v>474</v>
      </c>
      <c r="E27" s="411"/>
      <c r="F27" s="283" t="s">
        <v>425</v>
      </c>
      <c r="G27" s="283">
        <v>33.9</v>
      </c>
      <c r="H27" s="283">
        <v>33.9</v>
      </c>
      <c r="I27" s="310">
        <v>33.9</v>
      </c>
      <c r="J27" s="488"/>
      <c r="K27" s="13" t="s">
        <v>477</v>
      </c>
    </row>
    <row r="28" spans="1:11" x14ac:dyDescent="0.25">
      <c r="A28" s="474"/>
      <c r="B28" s="355"/>
      <c r="C28" s="309" t="s">
        <v>366</v>
      </c>
      <c r="D28" s="411" t="s">
        <v>469</v>
      </c>
      <c r="E28" s="411"/>
      <c r="F28" s="283" t="s">
        <v>468</v>
      </c>
      <c r="G28" s="283">
        <v>52.300000000000004</v>
      </c>
      <c r="H28" s="283">
        <v>52.300000000000004</v>
      </c>
      <c r="I28" s="310">
        <v>52.300000000000004</v>
      </c>
      <c r="J28" s="488"/>
      <c r="K28" s="13" t="s">
        <v>473</v>
      </c>
    </row>
    <row r="29" spans="1:11" x14ac:dyDescent="0.25">
      <c r="A29" s="474"/>
      <c r="B29" s="355"/>
      <c r="C29" s="309" t="s">
        <v>982</v>
      </c>
      <c r="D29" s="411" t="s">
        <v>471</v>
      </c>
      <c r="E29" s="411"/>
      <c r="F29" s="283" t="s">
        <v>472</v>
      </c>
      <c r="G29" s="283">
        <v>17.8</v>
      </c>
      <c r="H29" s="283">
        <v>17.8</v>
      </c>
      <c r="I29" s="310">
        <v>17.8</v>
      </c>
      <c r="J29" s="488"/>
      <c r="K29" s="13" t="s">
        <v>776</v>
      </c>
    </row>
    <row r="30" spans="1:11" x14ac:dyDescent="0.25">
      <c r="A30" s="474"/>
      <c r="B30" s="355"/>
      <c r="C30" s="309" t="s">
        <v>483</v>
      </c>
      <c r="D30" s="411" t="s">
        <v>484</v>
      </c>
      <c r="E30" s="411"/>
      <c r="F30" s="283" t="s">
        <v>463</v>
      </c>
      <c r="G30" s="283">
        <v>33.799999999999997</v>
      </c>
      <c r="H30" s="283">
        <v>33.799999999999997</v>
      </c>
      <c r="I30" s="310">
        <v>33.799999999999997</v>
      </c>
      <c r="J30" s="488"/>
      <c r="K30" s="13" t="s">
        <v>778</v>
      </c>
    </row>
    <row r="31" spans="1:11" x14ac:dyDescent="0.25">
      <c r="A31" s="474"/>
      <c r="B31" s="355"/>
      <c r="C31" s="309" t="s">
        <v>487</v>
      </c>
      <c r="D31" s="411" t="s">
        <v>673</v>
      </c>
      <c r="E31" s="411"/>
      <c r="F31" s="283" t="s">
        <v>463</v>
      </c>
      <c r="G31" s="283">
        <v>33.9</v>
      </c>
      <c r="H31" s="283">
        <v>33.9</v>
      </c>
      <c r="I31" s="310">
        <v>33.9</v>
      </c>
      <c r="J31" s="488"/>
      <c r="K31" s="13" t="s">
        <v>674</v>
      </c>
    </row>
    <row r="32" spans="1:11" x14ac:dyDescent="0.25">
      <c r="A32" s="474"/>
      <c r="B32" s="355"/>
      <c r="C32" s="309" t="s">
        <v>249</v>
      </c>
      <c r="D32" s="411" t="s">
        <v>490</v>
      </c>
      <c r="E32" s="411"/>
      <c r="F32" s="283" t="s">
        <v>491</v>
      </c>
      <c r="G32" s="283">
        <v>61.699999999999996</v>
      </c>
      <c r="H32" s="283">
        <v>61.699999999999996</v>
      </c>
      <c r="I32" s="310">
        <v>56.7</v>
      </c>
      <c r="J32" s="488"/>
      <c r="K32" s="13" t="s">
        <v>492</v>
      </c>
    </row>
    <row r="33" spans="1:11" x14ac:dyDescent="0.25">
      <c r="A33" s="474"/>
      <c r="B33" s="355"/>
      <c r="C33" s="309" t="s">
        <v>206</v>
      </c>
      <c r="D33" s="411" t="s">
        <v>537</v>
      </c>
      <c r="E33" s="411"/>
      <c r="F33" s="283" t="s">
        <v>538</v>
      </c>
      <c r="G33" s="283">
        <v>39.799999999999997</v>
      </c>
      <c r="H33" s="283">
        <v>39.799999999999997</v>
      </c>
      <c r="I33" s="310">
        <v>38.799999999999997</v>
      </c>
      <c r="J33" s="437"/>
      <c r="K33" s="13" t="s">
        <v>765</v>
      </c>
    </row>
    <row r="34" spans="1:11" x14ac:dyDescent="0.25">
      <c r="A34" s="474"/>
      <c r="B34" s="355"/>
      <c r="C34" s="276" t="s">
        <v>369</v>
      </c>
      <c r="D34" s="411" t="s">
        <v>522</v>
      </c>
      <c r="E34" s="411"/>
      <c r="F34" s="283" t="s">
        <v>501</v>
      </c>
      <c r="G34" s="283">
        <v>22.9</v>
      </c>
      <c r="H34" s="250">
        <v>22.9</v>
      </c>
      <c r="I34" s="250"/>
      <c r="J34" s="283" t="s">
        <v>511</v>
      </c>
      <c r="K34" s="13" t="s">
        <v>774</v>
      </c>
    </row>
    <row r="35" spans="1:11" ht="16.2" thickBot="1" x14ac:dyDescent="0.3">
      <c r="A35" s="474"/>
      <c r="B35" s="356"/>
      <c r="C35" s="293" t="s">
        <v>94</v>
      </c>
      <c r="D35" s="463" t="s">
        <v>500</v>
      </c>
      <c r="E35" s="463"/>
      <c r="F35" s="292" t="s">
        <v>501</v>
      </c>
      <c r="G35" s="292">
        <v>21.8</v>
      </c>
      <c r="H35" s="145">
        <v>21.8</v>
      </c>
      <c r="I35" s="145"/>
      <c r="J35" s="292" t="s">
        <v>648</v>
      </c>
      <c r="K35" s="151" t="s">
        <v>510</v>
      </c>
    </row>
    <row r="36" spans="1:11" ht="15.6" customHeight="1" x14ac:dyDescent="0.25">
      <c r="A36" s="474"/>
      <c r="B36" s="491" t="s">
        <v>900</v>
      </c>
      <c r="C36" s="16" t="s">
        <v>42</v>
      </c>
      <c r="D36" s="490" t="s">
        <v>517</v>
      </c>
      <c r="E36" s="490"/>
      <c r="F36" s="296" t="s">
        <v>518</v>
      </c>
      <c r="G36" s="296">
        <v>55</v>
      </c>
      <c r="H36" s="259">
        <v>54.99</v>
      </c>
      <c r="I36" s="259"/>
      <c r="J36" s="296" t="s">
        <v>519</v>
      </c>
      <c r="K36" s="152" t="s">
        <v>768</v>
      </c>
    </row>
    <row r="37" spans="1:11" ht="15.6" customHeight="1" x14ac:dyDescent="0.25">
      <c r="A37" s="474"/>
      <c r="B37" s="365"/>
      <c r="C37" s="276" t="s">
        <v>87</v>
      </c>
      <c r="D37" s="411" t="s">
        <v>514</v>
      </c>
      <c r="E37" s="411"/>
      <c r="F37" s="283" t="s">
        <v>513</v>
      </c>
      <c r="G37" s="283">
        <v>13.9</v>
      </c>
      <c r="H37" s="283">
        <v>13.9</v>
      </c>
      <c r="I37" s="283"/>
      <c r="J37" s="283" t="s">
        <v>558</v>
      </c>
      <c r="K37" s="13" t="s">
        <v>766</v>
      </c>
    </row>
    <row r="38" spans="1:11" ht="15.6" customHeight="1" x14ac:dyDescent="0.25">
      <c r="A38" s="474"/>
      <c r="B38" s="365"/>
      <c r="C38" s="316" t="s">
        <v>367</v>
      </c>
      <c r="D38" s="411" t="s">
        <v>892</v>
      </c>
      <c r="E38" s="411"/>
      <c r="F38" s="283" t="s">
        <v>496</v>
      </c>
      <c r="G38" s="283">
        <f>38.8+8.9</f>
        <v>47.699999999999996</v>
      </c>
      <c r="H38" s="283">
        <f>38.8+8.9</f>
        <v>47.699999999999996</v>
      </c>
      <c r="I38" s="310">
        <f>38.8+8.9</f>
        <v>47.699999999999996</v>
      </c>
      <c r="J38" s="412" t="s">
        <v>465</v>
      </c>
      <c r="K38" s="13" t="s">
        <v>769</v>
      </c>
    </row>
    <row r="39" spans="1:11" ht="15.6" customHeight="1" x14ac:dyDescent="0.25">
      <c r="A39" s="474"/>
      <c r="B39" s="365"/>
      <c r="C39" s="309" t="s">
        <v>43</v>
      </c>
      <c r="D39" s="411" t="s">
        <v>495</v>
      </c>
      <c r="E39" s="411"/>
      <c r="F39" s="283" t="s">
        <v>463</v>
      </c>
      <c r="G39" s="283">
        <f>16.8*2</f>
        <v>33.6</v>
      </c>
      <c r="H39" s="283">
        <f>16.8*2</f>
        <v>33.6</v>
      </c>
      <c r="I39" s="310">
        <f>16.8*2</f>
        <v>33.6</v>
      </c>
      <c r="J39" s="437"/>
      <c r="K39" s="13" t="s">
        <v>770</v>
      </c>
    </row>
    <row r="40" spans="1:11" ht="15.6" customHeight="1" x14ac:dyDescent="0.25">
      <c r="A40" s="474"/>
      <c r="B40" s="365"/>
      <c r="C40" s="276" t="s">
        <v>381</v>
      </c>
      <c r="D40" s="411" t="s">
        <v>591</v>
      </c>
      <c r="E40" s="411"/>
      <c r="F40" s="252"/>
      <c r="G40" s="252"/>
      <c r="H40" s="250"/>
      <c r="I40" s="250"/>
      <c r="J40" s="283" t="s">
        <v>897</v>
      </c>
      <c r="K40" s="13" t="s">
        <v>782</v>
      </c>
    </row>
    <row r="41" spans="1:11" ht="15.6" customHeight="1" x14ac:dyDescent="0.25">
      <c r="A41" s="474"/>
      <c r="B41" s="365"/>
      <c r="C41" s="276" t="s">
        <v>310</v>
      </c>
      <c r="D41" s="411" t="s">
        <v>594</v>
      </c>
      <c r="E41" s="411"/>
      <c r="F41" s="283" t="s">
        <v>595</v>
      </c>
      <c r="G41" s="283">
        <v>50</v>
      </c>
      <c r="H41" s="250">
        <v>47</v>
      </c>
      <c r="I41" s="250"/>
      <c r="J41" s="283" t="s">
        <v>596</v>
      </c>
      <c r="K41" s="13" t="s">
        <v>784</v>
      </c>
    </row>
    <row r="42" spans="1:11" ht="15.6" customHeight="1" x14ac:dyDescent="0.25">
      <c r="A42" s="474"/>
      <c r="B42" s="365"/>
      <c r="C42" s="316" t="s">
        <v>387</v>
      </c>
      <c r="D42" s="411" t="s">
        <v>601</v>
      </c>
      <c r="E42" s="411"/>
      <c r="F42" s="283" t="s">
        <v>602</v>
      </c>
      <c r="G42" s="283">
        <v>29.9</v>
      </c>
      <c r="H42" s="250">
        <v>29.9</v>
      </c>
      <c r="I42" s="318">
        <v>29.9</v>
      </c>
      <c r="J42" s="283" t="s">
        <v>873</v>
      </c>
      <c r="K42" s="13" t="s">
        <v>786</v>
      </c>
    </row>
    <row r="43" spans="1:11" ht="15.6" customHeight="1" thickBot="1" x14ac:dyDescent="0.3">
      <c r="A43" s="474"/>
      <c r="B43" s="353"/>
      <c r="C43" s="293" t="s">
        <v>63</v>
      </c>
      <c r="D43" s="463" t="s">
        <v>798</v>
      </c>
      <c r="E43" s="463"/>
      <c r="F43" s="292" t="s">
        <v>799</v>
      </c>
      <c r="G43" s="292">
        <v>61.9</v>
      </c>
      <c r="H43" s="145">
        <v>63.9</v>
      </c>
      <c r="I43" s="145"/>
      <c r="J43" s="292" t="s">
        <v>870</v>
      </c>
      <c r="K43" s="151" t="s">
        <v>800</v>
      </c>
    </row>
    <row r="44" spans="1:11" x14ac:dyDescent="0.25">
      <c r="A44" s="474"/>
      <c r="B44" s="355" t="s">
        <v>460</v>
      </c>
      <c r="C44" s="276" t="s">
        <v>541</v>
      </c>
      <c r="D44" s="411" t="s">
        <v>557</v>
      </c>
      <c r="E44" s="411"/>
      <c r="F44" s="283" t="s">
        <v>556</v>
      </c>
      <c r="G44" s="283">
        <v>21.8</v>
      </c>
      <c r="H44" s="283">
        <v>21.8</v>
      </c>
      <c r="I44" s="283"/>
      <c r="J44" s="283" t="s">
        <v>558</v>
      </c>
      <c r="K44" s="13" t="s">
        <v>761</v>
      </c>
    </row>
    <row r="45" spans="1:11" x14ac:dyDescent="0.25">
      <c r="A45" s="474"/>
      <c r="B45" s="360"/>
      <c r="C45" s="319" t="s">
        <v>954</v>
      </c>
      <c r="D45" s="392" t="s">
        <v>955</v>
      </c>
      <c r="E45" s="393"/>
      <c r="F45" s="284" t="s">
        <v>956</v>
      </c>
      <c r="G45" s="284">
        <f>115*4-40</f>
        <v>420</v>
      </c>
      <c r="H45" s="284">
        <f>115*4-40</f>
        <v>420</v>
      </c>
      <c r="I45" s="300">
        <f>115*4-40</f>
        <v>420</v>
      </c>
      <c r="J45" s="284" t="s">
        <v>958</v>
      </c>
      <c r="K45" s="262" t="s">
        <v>957</v>
      </c>
    </row>
    <row r="46" spans="1:11" ht="16.2" thickBot="1" x14ac:dyDescent="0.3">
      <c r="A46" s="474"/>
      <c r="B46" s="356"/>
      <c r="C46" s="293" t="s">
        <v>611</v>
      </c>
      <c r="D46" s="463" t="s">
        <v>612</v>
      </c>
      <c r="E46" s="463"/>
      <c r="F46" s="292" t="s">
        <v>613</v>
      </c>
      <c r="G46" s="292">
        <v>54.7</v>
      </c>
      <c r="H46" s="145">
        <v>54.7</v>
      </c>
      <c r="I46" s="145"/>
      <c r="J46" s="292" t="s">
        <v>615</v>
      </c>
      <c r="K46" s="151" t="s">
        <v>614</v>
      </c>
    </row>
    <row r="47" spans="1:11" x14ac:dyDescent="0.25">
      <c r="A47" s="474"/>
      <c r="B47" s="354" t="s">
        <v>49</v>
      </c>
      <c r="C47" s="16" t="s">
        <v>53</v>
      </c>
      <c r="D47" s="490" t="s">
        <v>591</v>
      </c>
      <c r="E47" s="490"/>
      <c r="F47" s="263"/>
      <c r="G47" s="263"/>
      <c r="H47" s="259"/>
      <c r="I47" s="259"/>
      <c r="J47" s="263"/>
      <c r="K47" s="152" t="s">
        <v>795</v>
      </c>
    </row>
    <row r="48" spans="1:11" x14ac:dyDescent="0.25">
      <c r="A48" s="474"/>
      <c r="B48" s="355"/>
      <c r="C48" s="276" t="s">
        <v>534</v>
      </c>
      <c r="D48" s="411" t="s">
        <v>535</v>
      </c>
      <c r="E48" s="411"/>
      <c r="F48" s="283" t="s">
        <v>343</v>
      </c>
      <c r="G48" s="283">
        <v>9.9</v>
      </c>
      <c r="H48" s="250">
        <v>9.9</v>
      </c>
      <c r="I48" s="250"/>
      <c r="J48" s="412" t="s">
        <v>536</v>
      </c>
      <c r="K48" s="13" t="s">
        <v>777</v>
      </c>
    </row>
    <row r="49" spans="1:11" x14ac:dyDescent="0.25">
      <c r="A49" s="474"/>
      <c r="B49" s="355"/>
      <c r="C49" s="276" t="s">
        <v>533</v>
      </c>
      <c r="D49" s="411" t="s">
        <v>649</v>
      </c>
      <c r="E49" s="411"/>
      <c r="F49" s="283" t="s">
        <v>650</v>
      </c>
      <c r="G49" s="283">
        <v>19.899999999999999</v>
      </c>
      <c r="H49" s="250">
        <v>19.899999999999999</v>
      </c>
      <c r="I49" s="250"/>
      <c r="J49" s="437"/>
      <c r="K49" s="13" t="s">
        <v>781</v>
      </c>
    </row>
    <row r="50" spans="1:11" x14ac:dyDescent="0.25">
      <c r="A50" s="474"/>
      <c r="B50" s="355"/>
      <c r="C50" s="316" t="s">
        <v>802</v>
      </c>
      <c r="D50" s="411" t="s">
        <v>804</v>
      </c>
      <c r="E50" s="411"/>
      <c r="F50" s="283" t="s">
        <v>751</v>
      </c>
      <c r="G50" s="283">
        <v>27.6</v>
      </c>
      <c r="H50" s="250">
        <v>27.6</v>
      </c>
      <c r="I50" s="318">
        <v>27.6</v>
      </c>
      <c r="J50" s="283" t="s">
        <v>803</v>
      </c>
      <c r="K50" s="13" t="s">
        <v>805</v>
      </c>
    </row>
    <row r="51" spans="1:11" x14ac:dyDescent="0.25">
      <c r="A51" s="474"/>
      <c r="B51" s="355"/>
      <c r="C51" s="276" t="s">
        <v>524</v>
      </c>
      <c r="D51" s="411" t="s">
        <v>671</v>
      </c>
      <c r="E51" s="411"/>
      <c r="F51" s="283" t="s">
        <v>702</v>
      </c>
      <c r="G51" s="283">
        <v>64.989999999999995</v>
      </c>
      <c r="H51" s="250">
        <v>62.99</v>
      </c>
      <c r="I51" s="250"/>
      <c r="J51" s="283" t="s">
        <v>520</v>
      </c>
      <c r="K51" s="13" t="s">
        <v>703</v>
      </c>
    </row>
    <row r="52" spans="1:11" x14ac:dyDescent="0.25">
      <c r="A52" s="474"/>
      <c r="B52" s="355"/>
      <c r="C52" s="276" t="s">
        <v>525</v>
      </c>
      <c r="D52" s="411" t="s">
        <v>772</v>
      </c>
      <c r="E52" s="411"/>
      <c r="F52" s="283" t="s">
        <v>169</v>
      </c>
      <c r="G52" s="283">
        <v>72</v>
      </c>
      <c r="H52" s="250">
        <v>68</v>
      </c>
      <c r="I52" s="250"/>
      <c r="J52" s="283" t="s">
        <v>309</v>
      </c>
      <c r="K52" s="13" t="s">
        <v>773</v>
      </c>
    </row>
    <row r="53" spans="1:11" x14ac:dyDescent="0.25">
      <c r="A53" s="474"/>
      <c r="B53" s="355"/>
      <c r="C53" s="276" t="s">
        <v>390</v>
      </c>
      <c r="D53" s="411" t="s">
        <v>604</v>
      </c>
      <c r="E53" s="411"/>
      <c r="F53" s="283" t="s">
        <v>341</v>
      </c>
      <c r="G53" s="283">
        <v>23.8</v>
      </c>
      <c r="H53" s="250">
        <v>23.8</v>
      </c>
      <c r="I53" s="250"/>
      <c r="J53" s="283" t="s">
        <v>605</v>
      </c>
      <c r="K53" s="13" t="s">
        <v>787</v>
      </c>
    </row>
    <row r="54" spans="1:11" x14ac:dyDescent="0.25">
      <c r="A54" s="474"/>
      <c r="B54" s="355"/>
      <c r="C54" s="276" t="s">
        <v>597</v>
      </c>
      <c r="D54" s="411" t="s">
        <v>598</v>
      </c>
      <c r="E54" s="411"/>
      <c r="F54" s="283" t="s">
        <v>341</v>
      </c>
      <c r="G54" s="283">
        <v>13.5</v>
      </c>
      <c r="H54" s="250">
        <v>13.5</v>
      </c>
      <c r="I54" s="250"/>
      <c r="J54" s="283" t="s">
        <v>599</v>
      </c>
      <c r="K54" s="13" t="s">
        <v>785</v>
      </c>
    </row>
    <row r="55" spans="1:11" x14ac:dyDescent="0.25">
      <c r="A55" s="474"/>
      <c r="B55" s="355"/>
      <c r="C55" s="276" t="s">
        <v>894</v>
      </c>
      <c r="D55" s="411" t="s">
        <v>893</v>
      </c>
      <c r="E55" s="411"/>
      <c r="F55" s="283" t="s">
        <v>169</v>
      </c>
      <c r="G55" s="283">
        <v>10.98</v>
      </c>
      <c r="H55" s="250">
        <f>10.98</f>
        <v>10.98</v>
      </c>
      <c r="I55" s="250"/>
      <c r="J55" s="411" t="s">
        <v>578</v>
      </c>
      <c r="K55" s="13" t="s">
        <v>779</v>
      </c>
    </row>
    <row r="56" spans="1:11" x14ac:dyDescent="0.25">
      <c r="A56" s="474"/>
      <c r="B56" s="355"/>
      <c r="C56" s="276" t="s">
        <v>895</v>
      </c>
      <c r="D56" s="411" t="s">
        <v>672</v>
      </c>
      <c r="E56" s="411"/>
      <c r="F56" s="283" t="s">
        <v>422</v>
      </c>
      <c r="G56" s="283">
        <v>7.9</v>
      </c>
      <c r="H56" s="250">
        <f>7.9</f>
        <v>7.9</v>
      </c>
      <c r="I56" s="250"/>
      <c r="J56" s="411"/>
      <c r="K56" s="13" t="s">
        <v>790</v>
      </c>
    </row>
    <row r="57" spans="1:11" ht="16.2" thickBot="1" x14ac:dyDescent="0.3">
      <c r="A57" s="474"/>
      <c r="B57" s="356"/>
      <c r="C57" s="305" t="s">
        <v>61</v>
      </c>
      <c r="D57" s="463" t="s">
        <v>896</v>
      </c>
      <c r="E57" s="463"/>
      <c r="F57" s="292" t="s">
        <v>792</v>
      </c>
      <c r="G57" s="292">
        <f>49.9*5</f>
        <v>249.5</v>
      </c>
      <c r="H57" s="292">
        <f>49.9*5</f>
        <v>249.5</v>
      </c>
      <c r="I57" s="312">
        <f>49.9*5</f>
        <v>249.5</v>
      </c>
      <c r="J57" s="292" t="s">
        <v>647</v>
      </c>
      <c r="K57" s="151" t="s">
        <v>780</v>
      </c>
    </row>
    <row r="58" spans="1:11" x14ac:dyDescent="0.25">
      <c r="A58" s="474"/>
      <c r="B58" s="354" t="s">
        <v>54</v>
      </c>
      <c r="C58" s="16" t="s">
        <v>56</v>
      </c>
      <c r="D58" s="490" t="s">
        <v>591</v>
      </c>
      <c r="E58" s="490"/>
      <c r="F58" s="296"/>
      <c r="G58" s="296"/>
      <c r="H58" s="259"/>
      <c r="I58" s="259"/>
      <c r="J58" s="296" t="s">
        <v>300</v>
      </c>
      <c r="K58" s="152" t="s">
        <v>788</v>
      </c>
    </row>
    <row r="59" spans="1:11" x14ac:dyDescent="0.25">
      <c r="A59" s="474"/>
      <c r="B59" s="355"/>
      <c r="C59" s="276" t="s">
        <v>759</v>
      </c>
      <c r="D59" s="411" t="s">
        <v>801</v>
      </c>
      <c r="E59" s="411"/>
      <c r="F59" s="283" t="s">
        <v>760</v>
      </c>
      <c r="G59" s="283">
        <v>71.400000000000006</v>
      </c>
      <c r="H59" s="250">
        <v>71.400000000000006</v>
      </c>
      <c r="I59" s="250"/>
      <c r="J59" s="283" t="s">
        <v>878</v>
      </c>
      <c r="K59" s="13" t="s">
        <v>789</v>
      </c>
    </row>
    <row r="60" spans="1:11" x14ac:dyDescent="0.25">
      <c r="A60" s="474"/>
      <c r="B60" s="355"/>
      <c r="C60" s="276" t="s">
        <v>57</v>
      </c>
      <c r="D60" s="411" t="s">
        <v>591</v>
      </c>
      <c r="E60" s="411"/>
      <c r="F60" s="283"/>
      <c r="G60" s="283"/>
      <c r="H60" s="250"/>
      <c r="I60" s="250"/>
      <c r="J60" s="283" t="s">
        <v>300</v>
      </c>
      <c r="K60" s="13" t="s">
        <v>783</v>
      </c>
    </row>
    <row r="61" spans="1:11" ht="16.2" thickBot="1" x14ac:dyDescent="0.3">
      <c r="A61" s="474"/>
      <c r="B61" s="356"/>
      <c r="C61" s="293" t="s">
        <v>568</v>
      </c>
      <c r="D61" s="463" t="s">
        <v>569</v>
      </c>
      <c r="E61" s="463"/>
      <c r="F61" s="292" t="s">
        <v>570</v>
      </c>
      <c r="G61" s="292">
        <v>16.89</v>
      </c>
      <c r="H61" s="292">
        <v>16.89</v>
      </c>
      <c r="I61" s="292"/>
      <c r="J61" s="292" t="s">
        <v>300</v>
      </c>
      <c r="K61" s="151" t="s">
        <v>571</v>
      </c>
    </row>
    <row r="62" spans="1:11" ht="16.2" customHeight="1" x14ac:dyDescent="0.25">
      <c r="A62" s="489" t="s">
        <v>65</v>
      </c>
      <c r="B62" s="352" t="s">
        <v>919</v>
      </c>
      <c r="C62" s="281" t="s">
        <v>912</v>
      </c>
      <c r="D62" s="490" t="s">
        <v>914</v>
      </c>
      <c r="E62" s="490"/>
      <c r="F62" s="288" t="s">
        <v>916</v>
      </c>
      <c r="G62" s="288">
        <v>3.2</v>
      </c>
      <c r="H62" s="288">
        <v>3.2</v>
      </c>
      <c r="I62" s="288"/>
      <c r="J62" s="434" t="s">
        <v>933</v>
      </c>
      <c r="K62" s="150"/>
    </row>
    <row r="63" spans="1:11" ht="16.2" customHeight="1" x14ac:dyDescent="0.25">
      <c r="A63" s="440"/>
      <c r="B63" s="365"/>
      <c r="C63" s="276" t="s">
        <v>913</v>
      </c>
      <c r="D63" s="411" t="s">
        <v>915</v>
      </c>
      <c r="E63" s="411"/>
      <c r="F63" s="283" t="s">
        <v>916</v>
      </c>
      <c r="G63" s="283">
        <v>5.2</v>
      </c>
      <c r="H63" s="283">
        <v>5.2</v>
      </c>
      <c r="I63" s="283"/>
      <c r="J63" s="488"/>
      <c r="K63" s="13"/>
    </row>
    <row r="64" spans="1:11" ht="16.2" customHeight="1" x14ac:dyDescent="0.25">
      <c r="A64" s="440"/>
      <c r="B64" s="361"/>
      <c r="C64" s="276" t="s">
        <v>918</v>
      </c>
      <c r="D64" s="411" t="s">
        <v>917</v>
      </c>
      <c r="E64" s="411"/>
      <c r="F64" s="283" t="s">
        <v>916</v>
      </c>
      <c r="G64" s="283">
        <v>9.5</v>
      </c>
      <c r="H64" s="283">
        <v>9.5</v>
      </c>
      <c r="I64" s="283"/>
      <c r="J64" s="437"/>
      <c r="K64" s="13"/>
    </row>
    <row r="65" spans="1:11" ht="16.2" customHeight="1" x14ac:dyDescent="0.25">
      <c r="A65" s="440"/>
      <c r="B65" s="279" t="s">
        <v>929</v>
      </c>
      <c r="C65" s="276" t="s">
        <v>930</v>
      </c>
      <c r="D65" s="392" t="s">
        <v>935</v>
      </c>
      <c r="E65" s="393"/>
      <c r="F65" s="283" t="s">
        <v>934</v>
      </c>
      <c r="G65" s="283">
        <v>6.5</v>
      </c>
      <c r="H65" s="283">
        <v>6.5</v>
      </c>
      <c r="I65" s="283"/>
      <c r="J65" s="283" t="s">
        <v>936</v>
      </c>
      <c r="K65" s="13"/>
    </row>
    <row r="66" spans="1:11" ht="16.2" customHeight="1" x14ac:dyDescent="0.25">
      <c r="A66" s="440"/>
      <c r="B66" s="360" t="s">
        <v>920</v>
      </c>
      <c r="C66" s="276" t="s">
        <v>921</v>
      </c>
      <c r="D66" s="411" t="s">
        <v>922</v>
      </c>
      <c r="E66" s="411"/>
      <c r="F66" s="283"/>
      <c r="G66" s="283">
        <v>11.25</v>
      </c>
      <c r="H66" s="283">
        <v>11.25</v>
      </c>
      <c r="I66" s="283"/>
      <c r="J66" s="412" t="s">
        <v>932</v>
      </c>
      <c r="K66" s="13"/>
    </row>
    <row r="67" spans="1:11" ht="16.2" customHeight="1" x14ac:dyDescent="0.25">
      <c r="A67" s="440"/>
      <c r="B67" s="361"/>
      <c r="C67" s="276" t="s">
        <v>923</v>
      </c>
      <c r="D67" s="411" t="s">
        <v>924</v>
      </c>
      <c r="E67" s="411"/>
      <c r="F67" s="283"/>
      <c r="G67" s="283">
        <v>14.99</v>
      </c>
      <c r="H67" s="283">
        <v>14.99</v>
      </c>
      <c r="I67" s="283"/>
      <c r="J67" s="488"/>
      <c r="K67" s="13"/>
    </row>
    <row r="68" spans="1:11" ht="16.2" x14ac:dyDescent="0.25">
      <c r="A68" s="407"/>
      <c r="B68" s="282" t="s">
        <v>925</v>
      </c>
      <c r="C68" s="276" t="s">
        <v>926</v>
      </c>
      <c r="D68" s="392" t="s">
        <v>927</v>
      </c>
      <c r="E68" s="393"/>
      <c r="F68" s="283" t="s">
        <v>928</v>
      </c>
      <c r="G68" s="283">
        <f>6.08*2</f>
        <v>12.16</v>
      </c>
      <c r="H68" s="283">
        <f>6.08*2</f>
        <v>12.16</v>
      </c>
      <c r="I68" s="283"/>
      <c r="J68" s="437"/>
      <c r="K68" s="13"/>
    </row>
    <row r="69" spans="1:11" ht="16.2" customHeight="1" x14ac:dyDescent="0.25">
      <c r="A69" s="489" t="s">
        <v>931</v>
      </c>
      <c r="B69" s="486" t="s">
        <v>937</v>
      </c>
      <c r="C69" s="487"/>
      <c r="D69" s="487"/>
      <c r="E69" s="487"/>
      <c r="F69" s="487"/>
      <c r="G69" s="487"/>
      <c r="H69" s="250">
        <v>5</v>
      </c>
      <c r="I69" s="250"/>
      <c r="J69" s="283" t="s">
        <v>939</v>
      </c>
      <c r="K69" s="13"/>
    </row>
    <row r="70" spans="1:11" ht="16.2" customHeight="1" x14ac:dyDescent="0.25">
      <c r="A70" s="407"/>
      <c r="B70" s="486" t="s">
        <v>938</v>
      </c>
      <c r="C70" s="487"/>
      <c r="D70" s="487"/>
      <c r="E70" s="487"/>
      <c r="F70" s="487"/>
      <c r="G70" s="487"/>
      <c r="H70" s="250">
        <v>3</v>
      </c>
      <c r="I70" s="250"/>
      <c r="J70" s="283" t="s">
        <v>939</v>
      </c>
      <c r="K70" s="13"/>
    </row>
    <row r="71" spans="1:11" ht="16.2" customHeight="1" x14ac:dyDescent="0.25">
      <c r="A71" s="489" t="s">
        <v>983</v>
      </c>
      <c r="B71" s="486" t="s">
        <v>984</v>
      </c>
      <c r="C71" s="487"/>
      <c r="D71" s="487"/>
      <c r="E71" s="487"/>
      <c r="F71" s="487"/>
      <c r="G71" s="487"/>
      <c r="H71" s="250"/>
      <c r="I71" s="318">
        <v>112</v>
      </c>
      <c r="J71" s="283" t="s">
        <v>985</v>
      </c>
      <c r="K71" s="13"/>
    </row>
    <row r="72" spans="1:11" ht="16.2" customHeight="1" x14ac:dyDescent="0.25">
      <c r="A72" s="407"/>
      <c r="B72" s="486" t="s">
        <v>986</v>
      </c>
      <c r="C72" s="487"/>
      <c r="D72" s="487"/>
      <c r="E72" s="487"/>
      <c r="F72" s="487"/>
      <c r="G72" s="487"/>
      <c r="H72" s="250"/>
      <c r="I72" s="318">
        <v>140</v>
      </c>
      <c r="J72" s="283" t="s">
        <v>940</v>
      </c>
      <c r="K72" s="13"/>
    </row>
    <row r="73" spans="1:11" ht="16.2" x14ac:dyDescent="0.25">
      <c r="A73" s="291" t="s">
        <v>910</v>
      </c>
      <c r="B73" s="486" t="s">
        <v>911</v>
      </c>
      <c r="C73" s="487"/>
      <c r="D73" s="487"/>
      <c r="E73" s="487"/>
      <c r="F73" s="487"/>
      <c r="G73" s="487"/>
      <c r="H73" s="250">
        <v>9</v>
      </c>
      <c r="I73" s="250"/>
      <c r="J73" s="283" t="s">
        <v>940</v>
      </c>
      <c r="K73" s="13"/>
    </row>
    <row r="74" spans="1:11" ht="27.6" customHeight="1" x14ac:dyDescent="0.25">
      <c r="A74" s="334" t="s">
        <v>448</v>
      </c>
      <c r="B74" s="335"/>
      <c r="C74" s="335"/>
      <c r="D74" s="335"/>
      <c r="E74" s="335"/>
      <c r="F74" s="335"/>
      <c r="G74" s="335"/>
      <c r="H74" s="261">
        <f>SUM(H3:H70)-H73</f>
        <v>2940.9599999999996</v>
      </c>
      <c r="I74" s="261">
        <f>SUM(I7:I16,I23,I25:I33,I38:I39,I45,I50,I57,I42)-I71-I72</f>
        <v>1501.9999999999998</v>
      </c>
      <c r="J74" s="252"/>
      <c r="K74" s="252"/>
    </row>
    <row r="75" spans="1:11" x14ac:dyDescent="0.25">
      <c r="A75" s="355" t="s">
        <v>908</v>
      </c>
      <c r="B75" s="487" t="s">
        <v>902</v>
      </c>
      <c r="C75" s="487"/>
      <c r="D75" s="487"/>
      <c r="E75" s="487"/>
      <c r="F75" s="487"/>
      <c r="G75" s="487"/>
      <c r="H75" s="250">
        <f>H3+H4+H5+H6+H7+H21+H35</f>
        <v>311.66000000000003</v>
      </c>
      <c r="I75" s="318">
        <f>I7</f>
        <v>145.6</v>
      </c>
      <c r="J75" s="252"/>
      <c r="K75" s="252"/>
    </row>
    <row r="76" spans="1:11" x14ac:dyDescent="0.25">
      <c r="A76" s="401"/>
      <c r="B76" s="487" t="s">
        <v>903</v>
      </c>
      <c r="C76" s="487"/>
      <c r="D76" s="487"/>
      <c r="E76" s="487"/>
      <c r="F76" s="487"/>
      <c r="G76" s="487"/>
      <c r="H76" s="250">
        <f>H20+H24+H34+H46+H52+H54</f>
        <v>209.45</v>
      </c>
      <c r="I76" s="250"/>
      <c r="J76" s="252"/>
      <c r="K76" s="252"/>
    </row>
    <row r="77" spans="1:11" x14ac:dyDescent="0.25">
      <c r="A77" s="401"/>
      <c r="B77" s="487" t="s">
        <v>904</v>
      </c>
      <c r="C77" s="487"/>
      <c r="D77" s="487"/>
      <c r="E77" s="487"/>
      <c r="F77" s="487"/>
      <c r="G77" s="487"/>
      <c r="H77" s="250">
        <f>SUM(H8:H16,H36,H25)</f>
        <v>525.29000000000008</v>
      </c>
      <c r="I77" s="318">
        <f>SUM(I8:I16,I25)-I71</f>
        <v>358.30000000000007</v>
      </c>
      <c r="J77" s="252"/>
      <c r="K77" s="252"/>
    </row>
    <row r="78" spans="1:11" x14ac:dyDescent="0.25">
      <c r="A78" s="401"/>
      <c r="B78" s="487" t="s">
        <v>905</v>
      </c>
      <c r="C78" s="487"/>
      <c r="D78" s="487"/>
      <c r="E78" s="487"/>
      <c r="F78" s="487"/>
      <c r="G78" s="487"/>
      <c r="H78" s="250">
        <f>H53+H23+H26+H27+H28+H29+H30+H31+H32+H33+H38+H39-H73</f>
        <v>434.9</v>
      </c>
      <c r="I78" s="318">
        <f>I23+I26+I27+I28+I29+I30+I31+I32+I33+I38+I39-I72</f>
        <v>271.10000000000008</v>
      </c>
      <c r="J78" s="252"/>
      <c r="K78" s="252"/>
    </row>
    <row r="79" spans="1:11" x14ac:dyDescent="0.25">
      <c r="A79" s="401"/>
      <c r="B79" s="487" t="s">
        <v>906</v>
      </c>
      <c r="C79" s="487"/>
      <c r="D79" s="487"/>
      <c r="E79" s="487"/>
      <c r="F79" s="487"/>
      <c r="G79" s="487"/>
      <c r="H79" s="250">
        <f>H41+H42+H48+H49+H57+H51</f>
        <v>419.19000000000005</v>
      </c>
      <c r="I79" s="318">
        <f>I42+I57</f>
        <v>279.39999999999998</v>
      </c>
      <c r="J79" s="252"/>
      <c r="K79" s="252"/>
    </row>
    <row r="80" spans="1:11" x14ac:dyDescent="0.25">
      <c r="A80" s="401"/>
      <c r="B80" s="487" t="s">
        <v>907</v>
      </c>
      <c r="C80" s="487"/>
      <c r="D80" s="487"/>
      <c r="E80" s="487"/>
      <c r="F80" s="487"/>
      <c r="G80" s="487"/>
      <c r="H80" s="250">
        <f>SUM(H61:H70,H59,H55:H56,H50,H22,H19,H43,H37,H44,H17,H18,H45)</f>
        <v>1040.4699999999998</v>
      </c>
      <c r="I80" s="320">
        <f>I45+I50</f>
        <v>447.6</v>
      </c>
      <c r="J80" s="252"/>
      <c r="K80" s="252"/>
    </row>
    <row r="81" spans="1:11" ht="23.4" customHeight="1" x14ac:dyDescent="0.25">
      <c r="A81" s="334" t="s">
        <v>909</v>
      </c>
      <c r="B81" s="335"/>
      <c r="C81" s="335"/>
      <c r="D81" s="335"/>
      <c r="E81" s="335"/>
      <c r="F81" s="335"/>
      <c r="G81" s="335"/>
      <c r="H81" s="261">
        <f>SUM(H75:H80)</f>
        <v>2940.96</v>
      </c>
      <c r="I81" s="261">
        <f>SUM(I75:I80)</f>
        <v>1502</v>
      </c>
      <c r="J81" s="252"/>
      <c r="K81" s="252"/>
    </row>
    <row r="82" spans="1:11" ht="29.4" customHeight="1" x14ac:dyDescent="0.25">
      <c r="A82" s="505" t="s">
        <v>987</v>
      </c>
      <c r="B82" s="506"/>
      <c r="C82" s="506"/>
      <c r="D82" s="506"/>
      <c r="E82" s="506"/>
      <c r="F82" s="506"/>
      <c r="G82" s="507"/>
      <c r="H82" s="508">
        <f>H74-I74</f>
        <v>1438.9599999999998</v>
      </c>
      <c r="I82" s="509"/>
      <c r="J82" s="378" t="s">
        <v>988</v>
      </c>
      <c r="K82" s="510"/>
    </row>
  </sheetData>
  <mergeCells count="112">
    <mergeCell ref="A81:G81"/>
    <mergeCell ref="A82:G82"/>
    <mergeCell ref="H82:I82"/>
    <mergeCell ref="J82:K82"/>
    <mergeCell ref="B73:G73"/>
    <mergeCell ref="A74:G74"/>
    <mergeCell ref="A75:A80"/>
    <mergeCell ref="B75:G75"/>
    <mergeCell ref="B76:G76"/>
    <mergeCell ref="B77:G77"/>
    <mergeCell ref="B78:G78"/>
    <mergeCell ref="B79:G79"/>
    <mergeCell ref="B80:G80"/>
    <mergeCell ref="A69:A70"/>
    <mergeCell ref="B69:G69"/>
    <mergeCell ref="B70:G70"/>
    <mergeCell ref="A71:A72"/>
    <mergeCell ref="B71:G71"/>
    <mergeCell ref="B72:G72"/>
    <mergeCell ref="A62:A68"/>
    <mergeCell ref="B62:B64"/>
    <mergeCell ref="D62:E62"/>
    <mergeCell ref="J62:J64"/>
    <mergeCell ref="D63:E63"/>
    <mergeCell ref="D64:E64"/>
    <mergeCell ref="D65:E65"/>
    <mergeCell ref="B66:B67"/>
    <mergeCell ref="D66:E66"/>
    <mergeCell ref="J66:J68"/>
    <mergeCell ref="J55:J56"/>
    <mergeCell ref="D56:E56"/>
    <mergeCell ref="D57:E57"/>
    <mergeCell ref="B58:B61"/>
    <mergeCell ref="D58:E58"/>
    <mergeCell ref="D59:E59"/>
    <mergeCell ref="D60:E60"/>
    <mergeCell ref="D61:E61"/>
    <mergeCell ref="D67:E67"/>
    <mergeCell ref="D68:E68"/>
    <mergeCell ref="J48:J49"/>
    <mergeCell ref="D49:E49"/>
    <mergeCell ref="D50:E50"/>
    <mergeCell ref="D51:E51"/>
    <mergeCell ref="D52:E52"/>
    <mergeCell ref="D53:E53"/>
    <mergeCell ref="B44:B46"/>
    <mergeCell ref="D44:E44"/>
    <mergeCell ref="D45:E45"/>
    <mergeCell ref="D46:E46"/>
    <mergeCell ref="B47:B57"/>
    <mergeCell ref="D47:E47"/>
    <mergeCell ref="D48:E48"/>
    <mergeCell ref="D54:E54"/>
    <mergeCell ref="D55:E55"/>
    <mergeCell ref="J38:J39"/>
    <mergeCell ref="D39:E39"/>
    <mergeCell ref="D40:E40"/>
    <mergeCell ref="D41:E41"/>
    <mergeCell ref="D42:E42"/>
    <mergeCell ref="D43:E43"/>
    <mergeCell ref="D34:E34"/>
    <mergeCell ref="D35:E35"/>
    <mergeCell ref="B36:B43"/>
    <mergeCell ref="D36:E36"/>
    <mergeCell ref="D37:E37"/>
    <mergeCell ref="D38:E38"/>
    <mergeCell ref="A20:A61"/>
    <mergeCell ref="B20:B21"/>
    <mergeCell ref="D20:E20"/>
    <mergeCell ref="D21:E21"/>
    <mergeCell ref="D22:E22"/>
    <mergeCell ref="B23:B35"/>
    <mergeCell ref="D23:E23"/>
    <mergeCell ref="D24:E24"/>
    <mergeCell ref="D25:E25"/>
    <mergeCell ref="D26:E26"/>
    <mergeCell ref="D19:E19"/>
    <mergeCell ref="D7:E7"/>
    <mergeCell ref="B8:B11"/>
    <mergeCell ref="D8:E8"/>
    <mergeCell ref="J26:J33"/>
    <mergeCell ref="D27:E27"/>
    <mergeCell ref="D28:E28"/>
    <mergeCell ref="D29:E29"/>
    <mergeCell ref="D30:E30"/>
    <mergeCell ref="D31:E31"/>
    <mergeCell ref="D32:E32"/>
    <mergeCell ref="D33:E33"/>
    <mergeCell ref="J8:J16"/>
    <mergeCell ref="K8:K11"/>
    <mergeCell ref="D9:E9"/>
    <mergeCell ref="D10:E10"/>
    <mergeCell ref="B12:B16"/>
    <mergeCell ref="D12:E12"/>
    <mergeCell ref="K12:K16"/>
    <mergeCell ref="A1:E1"/>
    <mergeCell ref="A2:B2"/>
    <mergeCell ref="A3:A19"/>
    <mergeCell ref="B3:B5"/>
    <mergeCell ref="D3:E3"/>
    <mergeCell ref="K3:K5"/>
    <mergeCell ref="D4:E4"/>
    <mergeCell ref="D5:E5"/>
    <mergeCell ref="B6:B7"/>
    <mergeCell ref="D6:E6"/>
    <mergeCell ref="D13:E13"/>
    <mergeCell ref="D14:E14"/>
    <mergeCell ref="D15:E15"/>
    <mergeCell ref="D16:E16"/>
    <mergeCell ref="B17:B19"/>
    <mergeCell ref="D17:E17"/>
    <mergeCell ref="D18:E18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9AE2-1E1C-4548-B1CA-438BC4F44394}">
  <dimension ref="A1:K43"/>
  <sheetViews>
    <sheetView workbookViewId="0">
      <selection activeCell="E7" sqref="E7"/>
    </sheetView>
  </sheetViews>
  <sheetFormatPr defaultRowHeight="13.8" x14ac:dyDescent="0.25"/>
  <cols>
    <col min="1" max="1" width="7.21875" customWidth="1"/>
    <col min="2" max="2" width="10.44140625" customWidth="1"/>
    <col min="3" max="3" width="19.44140625" customWidth="1"/>
    <col min="4" max="4" width="21.21875" customWidth="1"/>
    <col min="5" max="5" width="55.33203125" customWidth="1"/>
  </cols>
  <sheetData>
    <row r="1" spans="1:11" s="1" customFormat="1" ht="111.6" customHeight="1" x14ac:dyDescent="0.25">
      <c r="A1" s="446" t="s">
        <v>1038</v>
      </c>
      <c r="B1" s="447"/>
      <c r="C1" s="447"/>
      <c r="D1" s="447"/>
      <c r="E1" s="447"/>
      <c r="F1" s="63"/>
      <c r="G1" s="63"/>
      <c r="H1" s="63"/>
      <c r="I1" s="63"/>
      <c r="J1" s="63"/>
      <c r="K1" s="54"/>
    </row>
    <row r="2" spans="1:11" s="1" customFormat="1" ht="25.8" customHeight="1" x14ac:dyDescent="0.25">
      <c r="A2" s="468" t="s">
        <v>364</v>
      </c>
      <c r="B2" s="469"/>
      <c r="C2" s="202" t="s">
        <v>69</v>
      </c>
      <c r="D2" s="202" t="s">
        <v>947</v>
      </c>
      <c r="E2" s="215" t="s">
        <v>70</v>
      </c>
    </row>
    <row r="3" spans="1:11" ht="15.6" customHeight="1" x14ac:dyDescent="0.25">
      <c r="A3" s="498" t="s">
        <v>899</v>
      </c>
      <c r="B3" s="465" t="s">
        <v>392</v>
      </c>
      <c r="C3" s="232" t="s">
        <v>339</v>
      </c>
      <c r="D3" s="232"/>
      <c r="E3" s="350" t="s">
        <v>796</v>
      </c>
    </row>
    <row r="4" spans="1:11" ht="15.6" customHeight="1" x14ac:dyDescent="0.25">
      <c r="A4" s="499"/>
      <c r="B4" s="401"/>
      <c r="C4" s="224" t="s">
        <v>3</v>
      </c>
      <c r="D4" s="224"/>
      <c r="E4" s="350"/>
    </row>
    <row r="5" spans="1:11" ht="16.2" customHeight="1" thickBot="1" x14ac:dyDescent="0.3">
      <c r="A5" s="499"/>
      <c r="B5" s="404"/>
      <c r="C5" s="233" t="s">
        <v>444</v>
      </c>
      <c r="D5" s="233"/>
      <c r="E5" s="501"/>
    </row>
    <row r="6" spans="1:11" ht="15.6" customHeight="1" x14ac:dyDescent="0.25">
      <c r="A6" s="499"/>
      <c r="B6" s="464" t="s">
        <v>5</v>
      </c>
      <c r="C6" s="16" t="s">
        <v>340</v>
      </c>
      <c r="D6" s="16">
        <v>4</v>
      </c>
      <c r="E6" s="152" t="s">
        <v>451</v>
      </c>
    </row>
    <row r="7" spans="1:11" ht="16.2" customHeight="1" thickBot="1" x14ac:dyDescent="0.3">
      <c r="A7" s="499"/>
      <c r="B7" s="404"/>
      <c r="C7" s="233" t="s">
        <v>8</v>
      </c>
      <c r="D7" s="233">
        <v>8</v>
      </c>
      <c r="E7" s="151" t="s">
        <v>452</v>
      </c>
    </row>
    <row r="8" spans="1:11" ht="15.6" customHeight="1" x14ac:dyDescent="0.25">
      <c r="A8" s="499"/>
      <c r="B8" s="407" t="s">
        <v>15</v>
      </c>
      <c r="C8" s="232" t="s">
        <v>346</v>
      </c>
      <c r="D8" s="232" t="s">
        <v>951</v>
      </c>
      <c r="E8" s="503" t="s">
        <v>950</v>
      </c>
    </row>
    <row r="9" spans="1:11" ht="15.6" customHeight="1" x14ac:dyDescent="0.25">
      <c r="A9" s="499"/>
      <c r="B9" s="401"/>
      <c r="C9" s="224" t="s">
        <v>345</v>
      </c>
      <c r="D9" s="224" t="s">
        <v>949</v>
      </c>
      <c r="E9" s="350"/>
    </row>
    <row r="10" spans="1:11" ht="16.2" customHeight="1" thickBot="1" x14ac:dyDescent="0.3">
      <c r="A10" s="499"/>
      <c r="B10" s="404"/>
      <c r="C10" s="233" t="s">
        <v>344</v>
      </c>
      <c r="D10" s="233" t="s">
        <v>948</v>
      </c>
      <c r="E10" s="501"/>
    </row>
    <row r="11" spans="1:11" ht="15.6" customHeight="1" thickBot="1" x14ac:dyDescent="0.3">
      <c r="A11" s="500"/>
      <c r="B11" s="227" t="s">
        <v>9</v>
      </c>
      <c r="C11" s="16" t="s">
        <v>342</v>
      </c>
      <c r="D11" s="16" t="s">
        <v>952</v>
      </c>
      <c r="E11" s="321">
        <v>1</v>
      </c>
    </row>
    <row r="12" spans="1:11" ht="16.2" thickTop="1" x14ac:dyDescent="0.25">
      <c r="A12" s="436" t="s">
        <v>898</v>
      </c>
      <c r="B12" s="493" t="s">
        <v>30</v>
      </c>
      <c r="C12" s="66" t="s">
        <v>38</v>
      </c>
      <c r="D12" s="66">
        <v>4</v>
      </c>
      <c r="E12" s="253" t="s">
        <v>509</v>
      </c>
    </row>
    <row r="13" spans="1:11" ht="15.6" x14ac:dyDescent="0.25">
      <c r="A13" s="436"/>
      <c r="B13" s="365"/>
      <c r="C13" s="240" t="s">
        <v>146</v>
      </c>
      <c r="D13" s="240">
        <v>9</v>
      </c>
      <c r="E13" s="260" t="s">
        <v>704</v>
      </c>
    </row>
    <row r="14" spans="1:11" ht="16.2" thickBot="1" x14ac:dyDescent="0.3">
      <c r="A14" s="474"/>
      <c r="B14" s="356"/>
      <c r="C14" s="233" t="s">
        <v>945</v>
      </c>
      <c r="D14" s="233">
        <v>20</v>
      </c>
      <c r="E14" s="293">
        <v>20</v>
      </c>
    </row>
    <row r="15" spans="1:11" ht="16.8" customHeight="1" x14ac:dyDescent="0.25">
      <c r="A15" s="474"/>
      <c r="B15" s="352" t="s">
        <v>35</v>
      </c>
      <c r="C15" s="16" t="s">
        <v>563</v>
      </c>
      <c r="D15" s="16">
        <v>2</v>
      </c>
      <c r="E15" s="152" t="s">
        <v>564</v>
      </c>
    </row>
    <row r="16" spans="1:11" ht="16.2" thickBot="1" x14ac:dyDescent="0.3">
      <c r="A16" s="474"/>
      <c r="B16" s="353"/>
      <c r="C16" s="233" t="s">
        <v>946</v>
      </c>
      <c r="D16" s="233">
        <v>18</v>
      </c>
      <c r="E16" s="293">
        <v>18</v>
      </c>
    </row>
    <row r="17" spans="1:5" ht="15.6" customHeight="1" x14ac:dyDescent="0.25">
      <c r="A17" s="474"/>
      <c r="B17" s="511" t="s">
        <v>901</v>
      </c>
      <c r="C17" s="224" t="s">
        <v>479</v>
      </c>
      <c r="D17" s="224">
        <v>8</v>
      </c>
      <c r="E17" s="13" t="s">
        <v>482</v>
      </c>
    </row>
    <row r="18" spans="1:5" ht="15.6" customHeight="1" x14ac:dyDescent="0.25">
      <c r="A18" s="474"/>
      <c r="B18" s="511"/>
      <c r="C18" s="224" t="s">
        <v>476</v>
      </c>
      <c r="D18" s="224">
        <v>4</v>
      </c>
      <c r="E18" s="13" t="s">
        <v>477</v>
      </c>
    </row>
    <row r="19" spans="1:5" ht="15.6" customHeight="1" x14ac:dyDescent="0.25">
      <c r="A19" s="474"/>
      <c r="B19" s="511"/>
      <c r="C19" s="224" t="s">
        <v>366</v>
      </c>
      <c r="D19" s="224">
        <v>4</v>
      </c>
      <c r="E19" s="13" t="s">
        <v>473</v>
      </c>
    </row>
    <row r="20" spans="1:5" ht="15.6" customHeight="1" x14ac:dyDescent="0.25">
      <c r="A20" s="474"/>
      <c r="B20" s="511"/>
      <c r="C20" s="224" t="s">
        <v>487</v>
      </c>
      <c r="D20" s="224">
        <v>4</v>
      </c>
      <c r="E20" s="13" t="s">
        <v>674</v>
      </c>
    </row>
    <row r="21" spans="1:5" ht="15.6" customHeight="1" x14ac:dyDescent="0.25">
      <c r="A21" s="474"/>
      <c r="B21" s="511"/>
      <c r="C21" s="224" t="s">
        <v>249</v>
      </c>
      <c r="D21" s="224">
        <v>3</v>
      </c>
      <c r="E21" s="13" t="s">
        <v>492</v>
      </c>
    </row>
    <row r="22" spans="1:5" ht="15.6" customHeight="1" x14ac:dyDescent="0.25">
      <c r="A22" s="474"/>
      <c r="B22" s="511"/>
      <c r="C22" s="224" t="s">
        <v>206</v>
      </c>
      <c r="D22" s="224">
        <v>7</v>
      </c>
      <c r="E22" s="13" t="s">
        <v>765</v>
      </c>
    </row>
    <row r="23" spans="1:5" ht="15.6" customHeight="1" x14ac:dyDescent="0.25">
      <c r="A23" s="474"/>
      <c r="B23" s="511"/>
      <c r="C23" s="224" t="s">
        <v>369</v>
      </c>
      <c r="D23" s="224">
        <v>12</v>
      </c>
      <c r="E23" s="13" t="s">
        <v>774</v>
      </c>
    </row>
    <row r="24" spans="1:5" ht="16.2" customHeight="1" x14ac:dyDescent="0.25">
      <c r="A24" s="474"/>
      <c r="B24" s="511"/>
      <c r="C24" s="224" t="s">
        <v>94</v>
      </c>
      <c r="D24" s="224">
        <v>7</v>
      </c>
      <c r="E24" s="13" t="s">
        <v>510</v>
      </c>
    </row>
    <row r="25" spans="1:5" ht="15.6" x14ac:dyDescent="0.25">
      <c r="A25" s="474"/>
      <c r="B25" s="511"/>
      <c r="C25" s="244" t="s">
        <v>20</v>
      </c>
      <c r="D25" s="244">
        <v>4</v>
      </c>
      <c r="E25" s="244">
        <v>4</v>
      </c>
    </row>
    <row r="26" spans="1:5" ht="16.2" thickBot="1" x14ac:dyDescent="0.3">
      <c r="A26" s="474"/>
      <c r="B26" s="512"/>
      <c r="C26" s="233" t="s">
        <v>21</v>
      </c>
      <c r="D26" s="233">
        <v>6</v>
      </c>
      <c r="E26" s="233">
        <v>6</v>
      </c>
    </row>
    <row r="27" spans="1:5" ht="15.6" customHeight="1" x14ac:dyDescent="0.25">
      <c r="A27" s="474"/>
      <c r="B27" s="511" t="s">
        <v>900</v>
      </c>
      <c r="C27" s="224" t="s">
        <v>87</v>
      </c>
      <c r="D27" s="224">
        <v>8</v>
      </c>
      <c r="E27" s="13" t="s">
        <v>766</v>
      </c>
    </row>
    <row r="28" spans="1:5" ht="15.6" customHeight="1" x14ac:dyDescent="0.25">
      <c r="A28" s="474"/>
      <c r="B28" s="365"/>
      <c r="C28" s="224" t="s">
        <v>43</v>
      </c>
      <c r="D28" s="224">
        <v>6</v>
      </c>
      <c r="E28" s="13" t="s">
        <v>770</v>
      </c>
    </row>
    <row r="29" spans="1:5" ht="15.6" customHeight="1" x14ac:dyDescent="0.25">
      <c r="A29" s="474"/>
      <c r="B29" s="365"/>
      <c r="C29" s="224" t="s">
        <v>387</v>
      </c>
      <c r="D29" s="224">
        <v>1</v>
      </c>
      <c r="E29" s="13" t="s">
        <v>786</v>
      </c>
    </row>
    <row r="30" spans="1:5" ht="15.6" customHeight="1" thickBot="1" x14ac:dyDescent="0.3">
      <c r="A30" s="474"/>
      <c r="B30" s="353"/>
      <c r="C30" s="233" t="s">
        <v>63</v>
      </c>
      <c r="D30" s="233">
        <v>4</v>
      </c>
      <c r="E30" s="151" t="s">
        <v>800</v>
      </c>
    </row>
    <row r="31" spans="1:5" ht="15.6" x14ac:dyDescent="0.25">
      <c r="A31" s="474"/>
      <c r="B31" s="355" t="s">
        <v>46</v>
      </c>
      <c r="C31" s="224" t="s">
        <v>541</v>
      </c>
      <c r="D31" s="224">
        <v>3</v>
      </c>
      <c r="E31" s="13" t="s">
        <v>761</v>
      </c>
    </row>
    <row r="32" spans="1:5" ht="15.6" x14ac:dyDescent="0.25">
      <c r="A32" s="474"/>
      <c r="B32" s="360"/>
      <c r="C32" s="224" t="s">
        <v>611</v>
      </c>
      <c r="D32" s="224">
        <v>9</v>
      </c>
      <c r="E32" s="13" t="s">
        <v>614</v>
      </c>
    </row>
    <row r="33" spans="1:5" ht="15.6" x14ac:dyDescent="0.25">
      <c r="A33" s="474"/>
      <c r="B33" s="360"/>
      <c r="C33" s="244" t="s">
        <v>281</v>
      </c>
      <c r="D33" s="244">
        <v>8</v>
      </c>
      <c r="E33" s="280">
        <v>8</v>
      </c>
    </row>
    <row r="34" spans="1:5" ht="15.6" x14ac:dyDescent="0.25">
      <c r="A34" s="474"/>
      <c r="B34" s="360"/>
      <c r="C34" s="244" t="s">
        <v>48</v>
      </c>
      <c r="D34" s="244">
        <v>20</v>
      </c>
      <c r="E34" s="244">
        <v>20</v>
      </c>
    </row>
    <row r="35" spans="1:5" ht="16.2" thickBot="1" x14ac:dyDescent="0.3">
      <c r="A35" s="474"/>
      <c r="B35" s="356"/>
      <c r="C35" s="233" t="s">
        <v>347</v>
      </c>
      <c r="D35" s="233">
        <v>6</v>
      </c>
      <c r="E35" s="233">
        <v>6</v>
      </c>
    </row>
    <row r="36" spans="1:5" ht="15.6" x14ac:dyDescent="0.25">
      <c r="A36" s="474"/>
      <c r="B36" s="355" t="s">
        <v>49</v>
      </c>
      <c r="C36" s="224" t="s">
        <v>534</v>
      </c>
      <c r="D36" s="224">
        <v>10</v>
      </c>
      <c r="E36" s="13" t="s">
        <v>777</v>
      </c>
    </row>
    <row r="37" spans="1:5" ht="15.6" x14ac:dyDescent="0.25">
      <c r="A37" s="474"/>
      <c r="B37" s="355"/>
      <c r="C37" s="224" t="s">
        <v>533</v>
      </c>
      <c r="D37" s="224">
        <v>2</v>
      </c>
      <c r="E37" s="13" t="s">
        <v>781</v>
      </c>
    </row>
    <row r="38" spans="1:5" ht="15.6" x14ac:dyDescent="0.25">
      <c r="A38" s="474"/>
      <c r="B38" s="355"/>
      <c r="C38" s="224" t="s">
        <v>802</v>
      </c>
      <c r="D38" s="224">
        <v>4</v>
      </c>
      <c r="E38" s="13" t="s">
        <v>805</v>
      </c>
    </row>
    <row r="39" spans="1:5" ht="15.6" x14ac:dyDescent="0.25">
      <c r="A39" s="474"/>
      <c r="B39" s="355"/>
      <c r="C39" s="224" t="s">
        <v>51</v>
      </c>
      <c r="D39" s="224">
        <v>15</v>
      </c>
      <c r="E39" s="276">
        <v>15</v>
      </c>
    </row>
    <row r="40" spans="1:5" ht="15.6" x14ac:dyDescent="0.25">
      <c r="A40" s="474"/>
      <c r="B40" s="355"/>
      <c r="C40" s="224" t="s">
        <v>524</v>
      </c>
      <c r="D40" s="224">
        <v>12</v>
      </c>
      <c r="E40" s="13" t="s">
        <v>703</v>
      </c>
    </row>
    <row r="41" spans="1:5" ht="16.2" thickBot="1" x14ac:dyDescent="0.3">
      <c r="A41" s="474"/>
      <c r="B41" s="355"/>
      <c r="C41" s="224" t="s">
        <v>525</v>
      </c>
      <c r="D41" s="224" t="s">
        <v>953</v>
      </c>
      <c r="E41" s="13" t="s">
        <v>773</v>
      </c>
    </row>
    <row r="42" spans="1:5" ht="15.6" x14ac:dyDescent="0.25">
      <c r="A42" s="474"/>
      <c r="B42" s="354" t="s">
        <v>54</v>
      </c>
      <c r="C42" s="16" t="s">
        <v>56</v>
      </c>
      <c r="D42" s="16">
        <v>13</v>
      </c>
      <c r="E42" s="152" t="s">
        <v>788</v>
      </c>
    </row>
    <row r="43" spans="1:5" ht="15.6" x14ac:dyDescent="0.25">
      <c r="A43" s="474"/>
      <c r="B43" s="355"/>
      <c r="C43" s="224" t="s">
        <v>57</v>
      </c>
      <c r="D43" s="224">
        <v>1</v>
      </c>
      <c r="E43" s="13" t="s">
        <v>783</v>
      </c>
    </row>
  </sheetData>
  <mergeCells count="16">
    <mergeCell ref="A12:A43"/>
    <mergeCell ref="B12:B14"/>
    <mergeCell ref="B8:B10"/>
    <mergeCell ref="E8:E10"/>
    <mergeCell ref="A1:E1"/>
    <mergeCell ref="A2:B2"/>
    <mergeCell ref="A3:A11"/>
    <mergeCell ref="B3:B5"/>
    <mergeCell ref="E3:E5"/>
    <mergeCell ref="B6:B7"/>
    <mergeCell ref="B17:B26"/>
    <mergeCell ref="B15:B16"/>
    <mergeCell ref="B42:B43"/>
    <mergeCell ref="B31:B35"/>
    <mergeCell ref="B36:B41"/>
    <mergeCell ref="B27:B3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6CC48-6D8E-4370-B994-8D09A3ED1181}">
  <dimension ref="A1:B20"/>
  <sheetViews>
    <sheetView workbookViewId="0">
      <selection activeCell="B18" sqref="B18"/>
    </sheetView>
  </sheetViews>
  <sheetFormatPr defaultRowHeight="15.6" x14ac:dyDescent="0.25"/>
  <cols>
    <col min="1" max="1" width="10.6640625" style="8" customWidth="1"/>
    <col min="2" max="2" width="66.33203125" style="20" customWidth="1"/>
    <col min="3" max="3" width="20.5546875" style="20" customWidth="1"/>
    <col min="4" max="16384" width="8.88671875" style="20"/>
  </cols>
  <sheetData>
    <row r="1" spans="1:2" ht="25.2" customHeight="1" x14ac:dyDescent="0.25">
      <c r="A1" s="329" t="s">
        <v>100</v>
      </c>
      <c r="B1" s="330"/>
    </row>
    <row r="2" spans="1:2" ht="32.4" x14ac:dyDescent="0.25">
      <c r="A2" s="331" t="s">
        <v>101</v>
      </c>
      <c r="B2" s="19" t="s">
        <v>103</v>
      </c>
    </row>
    <row r="3" spans="1:2" ht="31.2" x14ac:dyDescent="0.25">
      <c r="A3" s="331"/>
      <c r="B3" s="301" t="s">
        <v>883</v>
      </c>
    </row>
    <row r="4" spans="1:2" ht="32.4" x14ac:dyDescent="0.25">
      <c r="A4" s="331"/>
      <c r="B4" s="19" t="s">
        <v>104</v>
      </c>
    </row>
    <row r="5" spans="1:2" ht="31.2" x14ac:dyDescent="0.25">
      <c r="A5" s="331"/>
      <c r="B5" s="301" t="s">
        <v>884</v>
      </c>
    </row>
    <row r="6" spans="1:2" ht="16.2" x14ac:dyDescent="0.25">
      <c r="A6" s="331"/>
      <c r="B6" s="19" t="s">
        <v>105</v>
      </c>
    </row>
    <row r="7" spans="1:2" ht="31.2" x14ac:dyDescent="0.25">
      <c r="A7" s="331"/>
      <c r="B7" s="301" t="s">
        <v>885</v>
      </c>
    </row>
    <row r="8" spans="1:2" ht="16.2" x14ac:dyDescent="0.25">
      <c r="A8" s="331" t="s">
        <v>102</v>
      </c>
      <c r="B8" s="21" t="s">
        <v>106</v>
      </c>
    </row>
    <row r="9" spans="1:2" ht="31.2" x14ac:dyDescent="0.25">
      <c r="A9" s="331"/>
      <c r="B9" s="302" t="s">
        <v>886</v>
      </c>
    </row>
    <row r="10" spans="1:2" ht="32.4" x14ac:dyDescent="0.25">
      <c r="A10" s="331"/>
      <c r="B10" s="21" t="s">
        <v>107</v>
      </c>
    </row>
    <row r="11" spans="1:2" ht="31.2" x14ac:dyDescent="0.25">
      <c r="A11" s="331"/>
      <c r="B11" s="302" t="s">
        <v>972</v>
      </c>
    </row>
    <row r="12" spans="1:2" ht="32.4" x14ac:dyDescent="0.25">
      <c r="A12" s="331"/>
      <c r="B12" s="21" t="s">
        <v>111</v>
      </c>
    </row>
    <row r="13" spans="1:2" x14ac:dyDescent="0.25">
      <c r="A13" s="331"/>
      <c r="B13" s="302" t="s">
        <v>887</v>
      </c>
    </row>
    <row r="14" spans="1:2" ht="16.2" x14ac:dyDescent="0.25">
      <c r="A14" s="331"/>
      <c r="B14" s="21" t="s">
        <v>108</v>
      </c>
    </row>
    <row r="15" spans="1:2" x14ac:dyDescent="0.25">
      <c r="A15" s="331"/>
      <c r="B15" s="302" t="s">
        <v>973</v>
      </c>
    </row>
    <row r="16" spans="1:2" ht="16.2" x14ac:dyDescent="0.25">
      <c r="A16" s="331"/>
      <c r="B16" s="21" t="s">
        <v>109</v>
      </c>
    </row>
    <row r="17" spans="1:2" x14ac:dyDescent="0.25">
      <c r="A17" s="331"/>
      <c r="B17" s="302" t="s">
        <v>889</v>
      </c>
    </row>
    <row r="18" spans="1:2" ht="16.2" x14ac:dyDescent="0.25">
      <c r="A18" s="331" t="s">
        <v>65</v>
      </c>
      <c r="B18" s="21" t="s">
        <v>110</v>
      </c>
    </row>
    <row r="19" spans="1:2" x14ac:dyDescent="0.25">
      <c r="A19" s="331"/>
      <c r="B19" s="302" t="s">
        <v>888</v>
      </c>
    </row>
    <row r="20" spans="1:2" ht="32.4" x14ac:dyDescent="0.25">
      <c r="A20" s="331"/>
      <c r="B20" s="21" t="s">
        <v>974</v>
      </c>
    </row>
  </sheetData>
  <mergeCells count="4">
    <mergeCell ref="A1:B1"/>
    <mergeCell ref="A2:A7"/>
    <mergeCell ref="A8:A17"/>
    <mergeCell ref="A18:A20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0292A-0EBB-436F-B367-956C206C4EDE}">
  <dimension ref="A1:G35"/>
  <sheetViews>
    <sheetView workbookViewId="0">
      <selection activeCell="H17" sqref="H17"/>
    </sheetView>
  </sheetViews>
  <sheetFormatPr defaultRowHeight="15.6" x14ac:dyDescent="0.25"/>
  <cols>
    <col min="1" max="1" width="6" style="2" customWidth="1"/>
    <col min="2" max="3" width="8.88671875" style="2"/>
    <col min="4" max="6" width="15.77734375" style="2" customWidth="1"/>
    <col min="7" max="7" width="23.88671875" style="9" customWidth="1"/>
    <col min="8" max="16384" width="8.88671875" style="1"/>
  </cols>
  <sheetData>
    <row r="1" spans="1:7" ht="17.399999999999999" x14ac:dyDescent="0.25">
      <c r="A1" s="336" t="s">
        <v>128</v>
      </c>
      <c r="B1" s="336"/>
      <c r="C1" s="336"/>
      <c r="D1" s="336"/>
      <c r="E1" s="336"/>
      <c r="F1" s="337"/>
      <c r="G1" s="72"/>
    </row>
    <row r="2" spans="1:7" ht="21" customHeight="1" x14ac:dyDescent="0.25">
      <c r="A2" s="338" t="s">
        <v>126</v>
      </c>
      <c r="B2" s="338"/>
      <c r="C2" s="22" t="s">
        <v>125</v>
      </c>
      <c r="D2" s="22" t="s">
        <v>27</v>
      </c>
      <c r="E2" s="22" t="s">
        <v>28</v>
      </c>
      <c r="F2" s="22" t="s">
        <v>29</v>
      </c>
      <c r="G2" s="106" t="s">
        <v>117</v>
      </c>
    </row>
    <row r="3" spans="1:7" ht="15.6" customHeight="1" x14ac:dyDescent="0.25">
      <c r="A3" s="105"/>
      <c r="B3" s="23">
        <v>43840</v>
      </c>
      <c r="C3" s="332" t="s">
        <v>118</v>
      </c>
      <c r="D3" s="105" t="s">
        <v>113</v>
      </c>
      <c r="E3" s="105" t="s">
        <v>114</v>
      </c>
      <c r="F3" s="105" t="s">
        <v>115</v>
      </c>
      <c r="G3" s="347" t="s">
        <v>942</v>
      </c>
    </row>
    <row r="4" spans="1:7" x14ac:dyDescent="0.25">
      <c r="A4" s="105"/>
      <c r="B4" s="23">
        <v>43841</v>
      </c>
      <c r="C4" s="332"/>
      <c r="D4" s="105" t="s">
        <v>116</v>
      </c>
      <c r="E4" s="105" t="s">
        <v>397</v>
      </c>
      <c r="F4" s="105" t="s">
        <v>397</v>
      </c>
      <c r="G4" s="347"/>
    </row>
    <row r="5" spans="1:7" x14ac:dyDescent="0.25">
      <c r="A5" s="105"/>
      <c r="B5" s="23">
        <v>43842</v>
      </c>
      <c r="C5" s="332"/>
      <c r="D5" s="105" t="s">
        <v>397</v>
      </c>
      <c r="E5" s="105" t="s">
        <v>397</v>
      </c>
      <c r="F5" s="105" t="s">
        <v>397</v>
      </c>
      <c r="G5" s="347"/>
    </row>
    <row r="6" spans="1:7" x14ac:dyDescent="0.25">
      <c r="A6" s="105"/>
      <c r="B6" s="23">
        <v>43843</v>
      </c>
      <c r="C6" s="332"/>
      <c r="D6" s="105" t="s">
        <v>397</v>
      </c>
      <c r="E6" s="333" t="s">
        <v>119</v>
      </c>
      <c r="F6" s="333"/>
      <c r="G6" s="347"/>
    </row>
    <row r="7" spans="1:7" x14ac:dyDescent="0.25">
      <c r="A7" s="105"/>
      <c r="B7" s="345"/>
      <c r="C7" s="345"/>
      <c r="D7" s="345"/>
      <c r="E7" s="345"/>
      <c r="F7" s="345"/>
      <c r="G7" s="73"/>
    </row>
    <row r="8" spans="1:7" ht="15.6" customHeight="1" x14ac:dyDescent="0.25">
      <c r="A8" s="105" t="s">
        <v>737</v>
      </c>
      <c r="B8" s="23">
        <v>43842</v>
      </c>
      <c r="C8" s="332" t="s">
        <v>120</v>
      </c>
      <c r="D8" s="105" t="s">
        <v>113</v>
      </c>
      <c r="E8" s="105" t="s">
        <v>114</v>
      </c>
      <c r="F8" s="105" t="s">
        <v>115</v>
      </c>
      <c r="G8" s="347" t="s">
        <v>127</v>
      </c>
    </row>
    <row r="9" spans="1:7" ht="15.6" customHeight="1" x14ac:dyDescent="0.25">
      <c r="A9" s="105" t="s">
        <v>738</v>
      </c>
      <c r="B9" s="23">
        <v>43843</v>
      </c>
      <c r="C9" s="333"/>
      <c r="D9" s="105" t="s">
        <v>116</v>
      </c>
      <c r="E9" s="105" t="s">
        <v>397</v>
      </c>
      <c r="F9" s="105" t="s">
        <v>398</v>
      </c>
      <c r="G9" s="347"/>
    </row>
    <row r="10" spans="1:7" x14ac:dyDescent="0.25">
      <c r="A10" s="105" t="s">
        <v>739</v>
      </c>
      <c r="B10" s="23">
        <v>43844</v>
      </c>
      <c r="C10" s="332" t="s">
        <v>124</v>
      </c>
      <c r="D10" s="105" t="s">
        <v>398</v>
      </c>
      <c r="E10" s="57" t="s">
        <v>121</v>
      </c>
      <c r="F10" s="105" t="s">
        <v>399</v>
      </c>
      <c r="G10" s="347"/>
    </row>
    <row r="11" spans="1:7" ht="15.6" customHeight="1" x14ac:dyDescent="0.25">
      <c r="A11" s="105" t="s">
        <v>740</v>
      </c>
      <c r="B11" s="23">
        <v>43845</v>
      </c>
      <c r="C11" s="333"/>
      <c r="D11" s="105" t="s">
        <v>399</v>
      </c>
      <c r="E11" s="57" t="s">
        <v>121</v>
      </c>
      <c r="F11" s="57" t="s">
        <v>122</v>
      </c>
      <c r="G11" s="347"/>
    </row>
    <row r="12" spans="1:7" x14ac:dyDescent="0.25">
      <c r="A12" s="105" t="s">
        <v>741</v>
      </c>
      <c r="B12" s="23">
        <v>43846</v>
      </c>
      <c r="C12" s="333"/>
      <c r="D12" s="57" t="s">
        <v>123</v>
      </c>
      <c r="E12" s="57" t="s">
        <v>121</v>
      </c>
      <c r="F12" s="57" t="s">
        <v>122</v>
      </c>
      <c r="G12" s="347"/>
    </row>
    <row r="13" spans="1:7" x14ac:dyDescent="0.25">
      <c r="A13" s="105" t="s">
        <v>742</v>
      </c>
      <c r="B13" s="23">
        <v>43847</v>
      </c>
      <c r="C13" s="333"/>
      <c r="D13" s="57" t="s">
        <v>123</v>
      </c>
      <c r="E13" s="57" t="s">
        <v>121</v>
      </c>
      <c r="F13" s="57" t="s">
        <v>122</v>
      </c>
      <c r="G13" s="347"/>
    </row>
    <row r="14" spans="1:7" x14ac:dyDescent="0.25">
      <c r="A14" s="105" t="s">
        <v>743</v>
      </c>
      <c r="B14" s="23">
        <v>43848</v>
      </c>
      <c r="C14" s="333"/>
      <c r="D14" s="57" t="s">
        <v>123</v>
      </c>
      <c r="E14" s="57" t="s">
        <v>121</v>
      </c>
      <c r="F14" s="57" t="s">
        <v>122</v>
      </c>
      <c r="G14" s="347"/>
    </row>
    <row r="15" spans="1:7" x14ac:dyDescent="0.25">
      <c r="A15" s="105" t="s">
        <v>744</v>
      </c>
      <c r="B15" s="23">
        <v>43849</v>
      </c>
      <c r="C15" s="333"/>
      <c r="D15" s="57" t="s">
        <v>123</v>
      </c>
      <c r="E15" s="57" t="s">
        <v>121</v>
      </c>
      <c r="F15" s="105" t="s">
        <v>400</v>
      </c>
      <c r="G15" s="347"/>
    </row>
    <row r="16" spans="1:7" x14ac:dyDescent="0.25">
      <c r="A16" s="105" t="s">
        <v>745</v>
      </c>
      <c r="B16" s="23">
        <v>43850</v>
      </c>
      <c r="C16" s="333"/>
      <c r="D16" s="105" t="s">
        <v>400</v>
      </c>
      <c r="E16" s="105" t="s">
        <v>397</v>
      </c>
      <c r="F16" s="105" t="s">
        <v>401</v>
      </c>
      <c r="G16" s="347"/>
    </row>
    <row r="17" spans="1:7" x14ac:dyDescent="0.25">
      <c r="A17" s="105" t="s">
        <v>746</v>
      </c>
      <c r="B17" s="23">
        <v>43851</v>
      </c>
      <c r="C17" s="333"/>
      <c r="D17" s="105" t="s">
        <v>397</v>
      </c>
      <c r="E17" s="105" t="s">
        <v>397</v>
      </c>
      <c r="F17" s="105" t="s">
        <v>115</v>
      </c>
      <c r="G17" s="347"/>
    </row>
    <row r="18" spans="1:7" x14ac:dyDescent="0.25">
      <c r="A18" s="105" t="s">
        <v>747</v>
      </c>
      <c r="B18" s="23">
        <v>43852</v>
      </c>
      <c r="C18" s="105"/>
      <c r="D18" s="105" t="s">
        <v>116</v>
      </c>
      <c r="E18" s="105" t="s">
        <v>116</v>
      </c>
      <c r="F18" s="105" t="s">
        <v>115</v>
      </c>
      <c r="G18" s="347"/>
    </row>
    <row r="19" spans="1:7" ht="37.799999999999997" customHeight="1" x14ac:dyDescent="0.25">
      <c r="A19" s="339" t="s">
        <v>402</v>
      </c>
      <c r="B19" s="340"/>
      <c r="C19" s="341"/>
      <c r="D19" s="71" t="s">
        <v>403</v>
      </c>
      <c r="E19" s="71" t="s">
        <v>404</v>
      </c>
      <c r="F19" s="71" t="s">
        <v>405</v>
      </c>
    </row>
    <row r="20" spans="1:7" ht="22.2" customHeight="1" x14ac:dyDescent="0.25">
      <c r="A20" s="342"/>
      <c r="B20" s="343"/>
      <c r="C20" s="344"/>
      <c r="D20" s="334" t="s">
        <v>406</v>
      </c>
      <c r="E20" s="335"/>
      <c r="F20" s="335"/>
    </row>
    <row r="22" spans="1:7" ht="17.399999999999999" x14ac:dyDescent="0.25">
      <c r="A22" s="346" t="s">
        <v>941</v>
      </c>
      <c r="B22" s="346"/>
      <c r="C22" s="346"/>
      <c r="D22" s="346"/>
      <c r="E22" s="346"/>
      <c r="F22" s="346"/>
    </row>
    <row r="23" spans="1:7" x14ac:dyDescent="0.25">
      <c r="A23" s="105" t="s">
        <v>737</v>
      </c>
      <c r="B23" s="23">
        <v>43842</v>
      </c>
      <c r="C23" s="332" t="s">
        <v>120</v>
      </c>
      <c r="D23" s="105" t="s">
        <v>113</v>
      </c>
      <c r="E23" s="105" t="s">
        <v>114</v>
      </c>
      <c r="F23" s="105" t="s">
        <v>115</v>
      </c>
      <c r="G23" s="9" t="s">
        <v>975</v>
      </c>
    </row>
    <row r="24" spans="1:7" x14ac:dyDescent="0.25">
      <c r="A24" s="105" t="s">
        <v>738</v>
      </c>
      <c r="B24" s="23">
        <v>43843</v>
      </c>
      <c r="C24" s="333"/>
      <c r="D24" s="105" t="s">
        <v>116</v>
      </c>
      <c r="E24" s="105" t="s">
        <v>943</v>
      </c>
      <c r="F24" s="105" t="s">
        <v>748</v>
      </c>
      <c r="G24" s="9" t="s">
        <v>944</v>
      </c>
    </row>
    <row r="25" spans="1:7" x14ac:dyDescent="0.25">
      <c r="A25" s="105" t="s">
        <v>739</v>
      </c>
      <c r="B25" s="23">
        <v>43844</v>
      </c>
      <c r="C25" s="332" t="s">
        <v>124</v>
      </c>
      <c r="D25" s="105" t="s">
        <v>748</v>
      </c>
      <c r="E25" s="57" t="s">
        <v>121</v>
      </c>
      <c r="F25" s="105" t="s">
        <v>749</v>
      </c>
    </row>
    <row r="26" spans="1:7" x14ac:dyDescent="0.25">
      <c r="A26" s="105" t="s">
        <v>740</v>
      </c>
      <c r="B26" s="23">
        <v>43845</v>
      </c>
      <c r="C26" s="333"/>
      <c r="D26" s="105" t="s">
        <v>749</v>
      </c>
      <c r="E26" s="57" t="s">
        <v>121</v>
      </c>
      <c r="F26" s="57" t="s">
        <v>122</v>
      </c>
    </row>
    <row r="27" spans="1:7" x14ac:dyDescent="0.25">
      <c r="A27" s="105" t="s">
        <v>741</v>
      </c>
      <c r="B27" s="23">
        <v>43846</v>
      </c>
      <c r="C27" s="333"/>
      <c r="D27" s="57" t="s">
        <v>123</v>
      </c>
      <c r="E27" s="57" t="s">
        <v>121</v>
      </c>
      <c r="F27" s="57" t="s">
        <v>122</v>
      </c>
    </row>
    <row r="28" spans="1:7" x14ac:dyDescent="0.25">
      <c r="A28" s="105" t="s">
        <v>742</v>
      </c>
      <c r="B28" s="23">
        <v>43847</v>
      </c>
      <c r="C28" s="333"/>
      <c r="D28" s="57" t="s">
        <v>123</v>
      </c>
      <c r="E28" s="57" t="s">
        <v>121</v>
      </c>
      <c r="F28" s="57" t="s">
        <v>122</v>
      </c>
    </row>
    <row r="29" spans="1:7" x14ac:dyDescent="0.25">
      <c r="A29" s="105" t="s">
        <v>743</v>
      </c>
      <c r="B29" s="23">
        <v>43848</v>
      </c>
      <c r="C29" s="333"/>
      <c r="D29" s="57" t="s">
        <v>123</v>
      </c>
      <c r="E29" s="57" t="s">
        <v>121</v>
      </c>
      <c r="F29" s="57" t="s">
        <v>122</v>
      </c>
    </row>
    <row r="30" spans="1:7" x14ac:dyDescent="0.25">
      <c r="A30" s="105" t="s">
        <v>744</v>
      </c>
      <c r="B30" s="23">
        <v>43849</v>
      </c>
      <c r="C30" s="333"/>
      <c r="D30" s="57" t="s">
        <v>123</v>
      </c>
      <c r="E30" s="57" t="s">
        <v>121</v>
      </c>
      <c r="F30" s="105" t="s">
        <v>400</v>
      </c>
    </row>
    <row r="31" spans="1:7" x14ac:dyDescent="0.25">
      <c r="A31" s="105" t="s">
        <v>745</v>
      </c>
      <c r="B31" s="23">
        <v>43850</v>
      </c>
      <c r="C31" s="333"/>
      <c r="D31" s="105" t="s">
        <v>400</v>
      </c>
      <c r="E31" s="105" t="s">
        <v>397</v>
      </c>
      <c r="F31" s="105" t="s">
        <v>401</v>
      </c>
    </row>
    <row r="32" spans="1:7" x14ac:dyDescent="0.25">
      <c r="A32" s="105" t="s">
        <v>746</v>
      </c>
      <c r="B32" s="23">
        <v>43851</v>
      </c>
      <c r="C32" s="333"/>
      <c r="D32" s="105" t="s">
        <v>397</v>
      </c>
      <c r="E32" s="105" t="s">
        <v>397</v>
      </c>
      <c r="F32" s="105" t="s">
        <v>115</v>
      </c>
    </row>
    <row r="33" spans="1:6" x14ac:dyDescent="0.25">
      <c r="A33" s="105" t="s">
        <v>747</v>
      </c>
      <c r="B33" s="23">
        <v>43852</v>
      </c>
      <c r="C33" s="105"/>
      <c r="D33" s="105" t="s">
        <v>116</v>
      </c>
      <c r="E33" s="105" t="s">
        <v>116</v>
      </c>
      <c r="F33" s="105" t="s">
        <v>115</v>
      </c>
    </row>
    <row r="34" spans="1:6" ht="32.4" x14ac:dyDescent="0.25">
      <c r="A34" s="334" t="s">
        <v>402</v>
      </c>
      <c r="B34" s="334"/>
      <c r="C34" s="334"/>
      <c r="D34" s="71" t="s">
        <v>403</v>
      </c>
      <c r="E34" s="71" t="s">
        <v>404</v>
      </c>
      <c r="F34" s="71" t="s">
        <v>405</v>
      </c>
    </row>
    <row r="35" spans="1:6" ht="16.2" x14ac:dyDescent="0.25">
      <c r="A35" s="334"/>
      <c r="B35" s="334"/>
      <c r="C35" s="334"/>
      <c r="D35" s="334" t="s">
        <v>406</v>
      </c>
      <c r="E35" s="335"/>
      <c r="F35" s="335"/>
    </row>
  </sheetData>
  <mergeCells count="16">
    <mergeCell ref="G3:G6"/>
    <mergeCell ref="G8:G18"/>
    <mergeCell ref="C3:C6"/>
    <mergeCell ref="E6:F6"/>
    <mergeCell ref="C8:C9"/>
    <mergeCell ref="C10:C17"/>
    <mergeCell ref="C23:C24"/>
    <mergeCell ref="C25:C32"/>
    <mergeCell ref="D35:F35"/>
    <mergeCell ref="A1:F1"/>
    <mergeCell ref="A2:B2"/>
    <mergeCell ref="A19:C20"/>
    <mergeCell ref="A34:C35"/>
    <mergeCell ref="B7:F7"/>
    <mergeCell ref="D20:F20"/>
    <mergeCell ref="A22:F2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89D6-2DBD-44D1-9950-3BFA33B3E4AB}">
  <dimension ref="A1:F9"/>
  <sheetViews>
    <sheetView workbookViewId="0">
      <selection activeCell="F3" sqref="F3"/>
    </sheetView>
  </sheetViews>
  <sheetFormatPr defaultRowHeight="15.6" x14ac:dyDescent="0.25"/>
  <cols>
    <col min="1" max="1" width="8.88671875" style="2"/>
    <col min="2" max="2" width="24.77734375" style="2" customWidth="1"/>
    <col min="3" max="3" width="12.6640625" style="2" customWidth="1"/>
    <col min="4" max="5" width="8.88671875" style="2"/>
    <col min="6" max="6" width="11.6640625" style="2" customWidth="1"/>
    <col min="7" max="16384" width="8.88671875" style="1"/>
  </cols>
  <sheetData>
    <row r="1" spans="1:6" ht="28.05" customHeight="1" x14ac:dyDescent="0.25">
      <c r="A1" s="348" t="s">
        <v>554</v>
      </c>
      <c r="B1" s="349"/>
      <c r="C1" s="349"/>
      <c r="D1" s="349"/>
      <c r="E1" s="349"/>
      <c r="F1" s="349"/>
    </row>
    <row r="2" spans="1:6" s="65" customFormat="1" ht="21" customHeight="1" x14ac:dyDescent="0.25">
      <c r="A2" s="70" t="s">
        <v>364</v>
      </c>
      <c r="B2" s="70" t="s">
        <v>552</v>
      </c>
      <c r="C2" s="70" t="s">
        <v>544</v>
      </c>
      <c r="D2" s="70" t="s">
        <v>545</v>
      </c>
      <c r="E2" s="70" t="s">
        <v>546</v>
      </c>
      <c r="F2" s="70" t="s">
        <v>553</v>
      </c>
    </row>
    <row r="3" spans="1:6" x14ac:dyDescent="0.25">
      <c r="A3" s="333" t="s">
        <v>549</v>
      </c>
      <c r="B3" s="53" t="s">
        <v>542</v>
      </c>
      <c r="C3" s="53">
        <v>25</v>
      </c>
      <c r="D3" s="53">
        <v>16</v>
      </c>
      <c r="E3" s="53">
        <v>1</v>
      </c>
      <c r="F3" s="53">
        <f>C3*D3*E3</f>
        <v>400</v>
      </c>
    </row>
    <row r="4" spans="1:6" x14ac:dyDescent="0.25">
      <c r="A4" s="333"/>
      <c r="B4" s="53" t="s">
        <v>543</v>
      </c>
      <c r="C4" s="53">
        <v>25</v>
      </c>
      <c r="D4" s="53">
        <v>16</v>
      </c>
      <c r="E4" s="53">
        <v>1</v>
      </c>
      <c r="F4" s="53">
        <f t="shared" ref="F4:F7" si="0">C4*D4*E4</f>
        <v>400</v>
      </c>
    </row>
    <row r="5" spans="1:6" x14ac:dyDescent="0.25">
      <c r="A5" s="333" t="s">
        <v>550</v>
      </c>
      <c r="B5" s="53" t="s">
        <v>547</v>
      </c>
      <c r="C5" s="53">
        <v>30</v>
      </c>
      <c r="D5" s="53">
        <v>16</v>
      </c>
      <c r="E5" s="53">
        <v>4</v>
      </c>
      <c r="F5" s="53">
        <f t="shared" si="0"/>
        <v>1920</v>
      </c>
    </row>
    <row r="6" spans="1:6" x14ac:dyDescent="0.25">
      <c r="A6" s="333"/>
      <c r="B6" s="53" t="s">
        <v>548</v>
      </c>
      <c r="C6" s="53">
        <v>30</v>
      </c>
      <c r="D6" s="53">
        <v>16</v>
      </c>
      <c r="E6" s="53">
        <v>1</v>
      </c>
      <c r="F6" s="53">
        <f t="shared" si="0"/>
        <v>480</v>
      </c>
    </row>
    <row r="7" spans="1:6" x14ac:dyDescent="0.25">
      <c r="A7" s="53" t="s">
        <v>397</v>
      </c>
      <c r="B7" s="53" t="s">
        <v>551</v>
      </c>
      <c r="C7" s="53">
        <v>11</v>
      </c>
      <c r="D7" s="53">
        <v>16</v>
      </c>
      <c r="E7" s="53">
        <v>1</v>
      </c>
      <c r="F7" s="53">
        <f t="shared" si="0"/>
        <v>176</v>
      </c>
    </row>
    <row r="8" spans="1:6" ht="21" customHeight="1" x14ac:dyDescent="0.25">
      <c r="A8" s="334" t="s">
        <v>555</v>
      </c>
      <c r="B8" s="335"/>
      <c r="C8" s="335"/>
      <c r="D8" s="335"/>
      <c r="E8" s="335"/>
      <c r="F8" s="70">
        <f>SUM(F3:F7)</f>
        <v>3376</v>
      </c>
    </row>
    <row r="9" spans="1:6" ht="39.6" customHeight="1" x14ac:dyDescent="0.25">
      <c r="A9" s="350" t="s">
        <v>561</v>
      </c>
      <c r="B9" s="351"/>
      <c r="C9" s="351"/>
      <c r="D9" s="351"/>
      <c r="E9" s="351"/>
      <c r="F9" s="351"/>
    </row>
  </sheetData>
  <mergeCells count="5">
    <mergeCell ref="A3:A4"/>
    <mergeCell ref="A5:A6"/>
    <mergeCell ref="A1:F1"/>
    <mergeCell ref="A8:E8"/>
    <mergeCell ref="A9:F9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ED8DF-442B-445E-844F-AE87BD4D32BE}">
  <dimension ref="A1:S92"/>
  <sheetViews>
    <sheetView workbookViewId="0">
      <selection sqref="A1:R1"/>
    </sheetView>
  </sheetViews>
  <sheetFormatPr defaultRowHeight="16.2" x14ac:dyDescent="0.25"/>
  <cols>
    <col min="1" max="1" width="14" style="3" customWidth="1"/>
    <col min="2" max="2" width="19.44140625" style="2" customWidth="1"/>
    <col min="3" max="3" width="14.44140625" style="2" customWidth="1"/>
    <col min="4" max="6" width="8.88671875" style="2"/>
    <col min="7" max="7" width="3.77734375" style="7" customWidth="1"/>
    <col min="8" max="8" width="13.21875" style="4" customWidth="1"/>
    <col min="9" max="9" width="15.21875" style="2" customWidth="1"/>
    <col min="10" max="10" width="17.44140625" style="1" customWidth="1"/>
    <col min="11" max="14" width="9.88671875" style="2" customWidth="1"/>
    <col min="15" max="17" width="8.88671875" style="1"/>
    <col min="18" max="18" width="3.77734375" style="7" customWidth="1"/>
    <col min="19" max="19" width="68.88671875" style="9" customWidth="1"/>
    <col min="20" max="16384" width="8.88671875" style="1"/>
  </cols>
  <sheetData>
    <row r="1" spans="1:18" ht="36" customHeight="1" thickBot="1" x14ac:dyDescent="0.3">
      <c r="A1" s="374" t="s">
        <v>881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</row>
    <row r="2" spans="1:18" ht="21" customHeight="1" x14ac:dyDescent="0.25">
      <c r="A2" s="382" t="s">
        <v>0</v>
      </c>
      <c r="B2" s="336"/>
      <c r="C2" s="336"/>
      <c r="D2" s="336"/>
      <c r="E2" s="336"/>
      <c r="F2" s="336"/>
      <c r="G2" s="5"/>
      <c r="H2" s="380" t="s">
        <v>71</v>
      </c>
      <c r="I2" s="380"/>
      <c r="J2" s="380"/>
      <c r="K2" s="380"/>
      <c r="L2" s="380"/>
      <c r="M2" s="380"/>
      <c r="N2" s="380"/>
      <c r="O2" s="380"/>
      <c r="P2" s="380"/>
      <c r="Q2" s="380"/>
      <c r="R2" s="5"/>
    </row>
    <row r="3" spans="1:18" x14ac:dyDescent="0.25">
      <c r="A3" s="10" t="s">
        <v>68</v>
      </c>
      <c r="B3" s="10" t="s">
        <v>69</v>
      </c>
      <c r="C3" s="10" t="s">
        <v>70</v>
      </c>
      <c r="D3" s="11" t="s">
        <v>129</v>
      </c>
      <c r="E3" s="11" t="s">
        <v>135</v>
      </c>
      <c r="F3" s="11" t="s">
        <v>136</v>
      </c>
      <c r="G3" s="6"/>
      <c r="H3" s="10" t="s">
        <v>68</v>
      </c>
      <c r="I3" s="10" t="s">
        <v>69</v>
      </c>
      <c r="J3" s="10" t="s">
        <v>70</v>
      </c>
      <c r="K3" s="10" t="s">
        <v>129</v>
      </c>
      <c r="L3" s="11" t="s">
        <v>132</v>
      </c>
      <c r="M3" s="11" t="s">
        <v>133</v>
      </c>
      <c r="O3" s="10" t="s">
        <v>72</v>
      </c>
      <c r="P3" s="10" t="s">
        <v>73</v>
      </c>
      <c r="Q3" s="10" t="s">
        <v>74</v>
      </c>
      <c r="R3" s="6"/>
    </row>
    <row r="4" spans="1:18" ht="15.6" customHeight="1" x14ac:dyDescent="0.25">
      <c r="A4" s="355" t="s">
        <v>67</v>
      </c>
      <c r="B4" s="12" t="s">
        <v>1</v>
      </c>
      <c r="C4" s="12" t="s">
        <v>199</v>
      </c>
      <c r="D4" s="18"/>
      <c r="E4" s="18">
        <v>0.1</v>
      </c>
      <c r="F4" s="18" t="s">
        <v>197</v>
      </c>
      <c r="H4" s="355" t="s">
        <v>30</v>
      </c>
      <c r="I4" s="12" t="s">
        <v>38</v>
      </c>
      <c r="J4" s="44" t="s">
        <v>288</v>
      </c>
      <c r="K4" s="45" t="s">
        <v>210</v>
      </c>
      <c r="L4" s="45">
        <v>0.98</v>
      </c>
      <c r="M4" s="41" t="s">
        <v>461</v>
      </c>
      <c r="N4" s="27"/>
      <c r="O4" s="28"/>
      <c r="P4" s="357"/>
      <c r="Q4" s="28"/>
    </row>
    <row r="5" spans="1:18" ht="15.6" customHeight="1" x14ac:dyDescent="0.25">
      <c r="A5" s="355"/>
      <c r="B5" s="12" t="s">
        <v>2</v>
      </c>
      <c r="C5" s="12" t="s">
        <v>194</v>
      </c>
      <c r="D5" s="18"/>
      <c r="E5" s="18" t="s">
        <v>195</v>
      </c>
      <c r="F5" s="211" t="s">
        <v>197</v>
      </c>
      <c r="H5" s="355"/>
      <c r="I5" s="12" t="s">
        <v>146</v>
      </c>
      <c r="J5" s="44"/>
      <c r="K5" s="45" t="s">
        <v>131</v>
      </c>
      <c r="L5" s="45" t="s">
        <v>145</v>
      </c>
      <c r="M5" s="45" t="s">
        <v>134</v>
      </c>
      <c r="N5" s="27"/>
      <c r="O5" s="28"/>
      <c r="P5" s="358"/>
      <c r="Q5" s="28"/>
    </row>
    <row r="6" spans="1:18" ht="15.6" customHeight="1" x14ac:dyDescent="0.25">
      <c r="A6" s="355"/>
      <c r="B6" s="12" t="s">
        <v>3</v>
      </c>
      <c r="C6" s="12" t="s">
        <v>192</v>
      </c>
      <c r="D6" s="18"/>
      <c r="E6" s="18" t="s">
        <v>193</v>
      </c>
      <c r="F6" s="18" t="s">
        <v>191</v>
      </c>
      <c r="H6" s="355"/>
      <c r="I6" s="12" t="s">
        <v>39</v>
      </c>
      <c r="J6" s="41" t="s">
        <v>224</v>
      </c>
      <c r="K6" s="45" t="s">
        <v>222</v>
      </c>
      <c r="L6" s="45" t="s">
        <v>225</v>
      </c>
      <c r="M6" s="45" t="s">
        <v>223</v>
      </c>
      <c r="N6" s="27"/>
      <c r="O6" s="28"/>
      <c r="P6" s="358"/>
      <c r="Q6" s="28"/>
    </row>
    <row r="7" spans="1:18" ht="16.2" customHeight="1" thickBot="1" x14ac:dyDescent="0.3">
      <c r="A7" s="356"/>
      <c r="B7" s="15" t="s">
        <v>4</v>
      </c>
      <c r="C7" s="15" t="s">
        <v>196</v>
      </c>
      <c r="D7" s="15" t="s">
        <v>190</v>
      </c>
      <c r="E7" s="15" t="s">
        <v>198</v>
      </c>
      <c r="F7" s="15" t="s">
        <v>197</v>
      </c>
      <c r="H7" s="355"/>
      <c r="I7" s="12" t="s">
        <v>298</v>
      </c>
      <c r="J7" s="44" t="s">
        <v>297</v>
      </c>
      <c r="K7" s="45" t="s">
        <v>207</v>
      </c>
      <c r="L7" s="45">
        <v>0.85</v>
      </c>
      <c r="M7" s="45" t="s">
        <v>299</v>
      </c>
      <c r="N7" s="27"/>
      <c r="O7" s="28"/>
      <c r="P7" s="358"/>
      <c r="Q7" s="28"/>
    </row>
    <row r="8" spans="1:18" ht="16.2" customHeight="1" thickBot="1" x14ac:dyDescent="0.3">
      <c r="A8" s="352" t="s">
        <v>5</v>
      </c>
      <c r="B8" s="16" t="s">
        <v>6</v>
      </c>
      <c r="C8" s="16" t="s">
        <v>165</v>
      </c>
      <c r="D8" s="16" t="s">
        <v>166</v>
      </c>
      <c r="E8" s="16" t="s">
        <v>167</v>
      </c>
      <c r="F8" s="16" t="s">
        <v>168</v>
      </c>
      <c r="H8" s="355"/>
      <c r="I8" s="12" t="s">
        <v>31</v>
      </c>
      <c r="J8" s="44" t="s">
        <v>294</v>
      </c>
      <c r="K8" s="45" t="s">
        <v>295</v>
      </c>
      <c r="L8" s="45">
        <v>0.87</v>
      </c>
      <c r="M8" s="45" t="s">
        <v>296</v>
      </c>
      <c r="N8" s="27"/>
      <c r="O8" s="28"/>
      <c r="P8" s="358"/>
      <c r="Q8" s="28"/>
    </row>
    <row r="9" spans="1:18" ht="16.2" customHeight="1" x14ac:dyDescent="0.25">
      <c r="A9" s="365"/>
      <c r="B9" s="14" t="s">
        <v>177</v>
      </c>
      <c r="C9" s="14" t="s">
        <v>178</v>
      </c>
      <c r="D9" s="14" t="s">
        <v>179</v>
      </c>
      <c r="E9" s="14" t="s">
        <v>180</v>
      </c>
      <c r="F9" s="16" t="s">
        <v>168</v>
      </c>
      <c r="H9" s="355"/>
      <c r="I9" s="12" t="s">
        <v>32</v>
      </c>
      <c r="J9" s="44" t="s">
        <v>292</v>
      </c>
      <c r="K9" s="45" t="s">
        <v>131</v>
      </c>
      <c r="L9" s="45">
        <v>1.86</v>
      </c>
      <c r="M9" s="45" t="s">
        <v>293</v>
      </c>
      <c r="N9" s="27"/>
      <c r="O9" s="28"/>
      <c r="P9" s="358"/>
      <c r="Q9" s="28"/>
    </row>
    <row r="10" spans="1:18" ht="16.2" customHeight="1" x14ac:dyDescent="0.25">
      <c r="A10" s="365"/>
      <c r="B10" s="12" t="s">
        <v>7</v>
      </c>
      <c r="C10" s="12" t="s">
        <v>187</v>
      </c>
      <c r="D10" s="18" t="s">
        <v>188</v>
      </c>
      <c r="E10" s="18" t="s">
        <v>189</v>
      </c>
      <c r="F10" s="40" t="s">
        <v>172</v>
      </c>
      <c r="H10" s="355"/>
      <c r="I10" s="12" t="s">
        <v>33</v>
      </c>
      <c r="J10" s="44"/>
      <c r="K10" s="45"/>
      <c r="L10" s="45"/>
      <c r="M10" s="45"/>
      <c r="N10" s="27"/>
      <c r="O10" s="28"/>
      <c r="P10" s="358"/>
      <c r="Q10" s="28"/>
    </row>
    <row r="11" spans="1:18" ht="16.2" customHeight="1" thickBot="1" x14ac:dyDescent="0.3">
      <c r="A11" s="365"/>
      <c r="B11" s="40" t="s">
        <v>173</v>
      </c>
      <c r="C11" s="40" t="s">
        <v>174</v>
      </c>
      <c r="D11" s="40" t="s">
        <v>175</v>
      </c>
      <c r="E11" s="40" t="s">
        <v>176</v>
      </c>
      <c r="F11" s="40" t="s">
        <v>172</v>
      </c>
      <c r="H11" s="356"/>
      <c r="I11" s="15" t="s">
        <v>34</v>
      </c>
      <c r="J11" s="46"/>
      <c r="K11" s="29"/>
      <c r="L11" s="29"/>
      <c r="M11" s="29"/>
      <c r="N11" s="29"/>
      <c r="O11" s="30"/>
      <c r="P11" s="359"/>
      <c r="Q11" s="30"/>
    </row>
    <row r="12" spans="1:18" ht="16.2" customHeight="1" thickBot="1" x14ac:dyDescent="0.3">
      <c r="A12" s="353"/>
      <c r="B12" s="15" t="s">
        <v>8</v>
      </c>
      <c r="C12" s="15" t="s">
        <v>169</v>
      </c>
      <c r="D12" s="15" t="s">
        <v>170</v>
      </c>
      <c r="E12" s="15" t="s">
        <v>171</v>
      </c>
      <c r="F12" s="15" t="s">
        <v>172</v>
      </c>
      <c r="H12" s="354" t="s">
        <v>35</v>
      </c>
      <c r="I12" s="16" t="s">
        <v>60</v>
      </c>
      <c r="J12" s="32" t="s">
        <v>301</v>
      </c>
      <c r="K12" s="31" t="s">
        <v>302</v>
      </c>
      <c r="L12" s="31">
        <v>1.55</v>
      </c>
      <c r="M12" s="43" t="s">
        <v>300</v>
      </c>
      <c r="N12" s="31"/>
      <c r="O12" s="32"/>
      <c r="P12" s="381"/>
      <c r="Q12" s="32"/>
    </row>
    <row r="13" spans="1:18" ht="16.2" customHeight="1" thickBot="1" x14ac:dyDescent="0.3">
      <c r="A13" s="354" t="s">
        <v>9</v>
      </c>
      <c r="B13" s="16" t="s">
        <v>160</v>
      </c>
      <c r="C13" s="16" t="s">
        <v>182</v>
      </c>
      <c r="D13" s="366" t="s">
        <v>186</v>
      </c>
      <c r="E13" s="367"/>
      <c r="F13" s="16" t="s">
        <v>164</v>
      </c>
      <c r="H13" s="355"/>
      <c r="I13" s="12" t="s">
        <v>37</v>
      </c>
      <c r="J13" s="47" t="s">
        <v>297</v>
      </c>
      <c r="K13" s="33" t="s">
        <v>207</v>
      </c>
      <c r="L13" s="33">
        <v>0.85</v>
      </c>
      <c r="M13" s="33" t="s">
        <v>299</v>
      </c>
      <c r="N13" s="33"/>
      <c r="O13" s="28"/>
      <c r="P13" s="358"/>
      <c r="Q13" s="28"/>
    </row>
    <row r="14" spans="1:18" ht="16.2" customHeight="1" thickBot="1" x14ac:dyDescent="0.3">
      <c r="A14" s="355"/>
      <c r="B14" s="12" t="s">
        <v>159</v>
      </c>
      <c r="C14" s="12" t="s">
        <v>183</v>
      </c>
      <c r="D14" s="368"/>
      <c r="E14" s="369"/>
      <c r="F14" s="16" t="s">
        <v>164</v>
      </c>
      <c r="H14" s="356"/>
      <c r="I14" s="15" t="s">
        <v>36</v>
      </c>
      <c r="J14" s="235" t="s">
        <v>863</v>
      </c>
      <c r="K14" s="34" t="s">
        <v>328</v>
      </c>
      <c r="L14" s="34">
        <v>2.73</v>
      </c>
      <c r="M14" s="42" t="s">
        <v>338</v>
      </c>
      <c r="N14" s="34"/>
      <c r="O14" s="30"/>
      <c r="P14" s="359"/>
      <c r="Q14" s="30"/>
    </row>
    <row r="15" spans="1:18" ht="16.2" customHeight="1" thickBot="1" x14ac:dyDescent="0.3">
      <c r="A15" s="355"/>
      <c r="B15" s="12" t="s">
        <v>10</v>
      </c>
      <c r="C15" s="12" t="s">
        <v>181</v>
      </c>
      <c r="D15" s="368"/>
      <c r="E15" s="369"/>
      <c r="F15" s="16" t="s">
        <v>164</v>
      </c>
      <c r="H15" s="352" t="s">
        <v>18</v>
      </c>
      <c r="I15" s="16" t="s">
        <v>40</v>
      </c>
      <c r="J15" s="32" t="s">
        <v>267</v>
      </c>
      <c r="K15" s="31" t="s">
        <v>268</v>
      </c>
      <c r="L15" s="31">
        <v>1.59</v>
      </c>
      <c r="M15" s="31" t="s">
        <v>221</v>
      </c>
      <c r="N15" s="31"/>
      <c r="O15" s="32"/>
      <c r="P15" s="372"/>
      <c r="Q15" s="32"/>
    </row>
    <row r="16" spans="1:18" ht="16.2" customHeight="1" thickBot="1" x14ac:dyDescent="0.3">
      <c r="A16" s="355"/>
      <c r="B16" s="12" t="s">
        <v>161</v>
      </c>
      <c r="C16" s="12" t="s">
        <v>162</v>
      </c>
      <c r="D16" s="368"/>
      <c r="E16" s="369"/>
      <c r="F16" s="16" t="s">
        <v>164</v>
      </c>
      <c r="H16" s="365"/>
      <c r="I16" s="12" t="s">
        <v>112</v>
      </c>
      <c r="J16" s="47" t="s">
        <v>316</v>
      </c>
      <c r="K16" s="33" t="s">
        <v>312</v>
      </c>
      <c r="L16" s="33">
        <v>2.0499999999999998</v>
      </c>
      <c r="M16" s="41" t="s">
        <v>317</v>
      </c>
      <c r="N16" s="33"/>
      <c r="O16" s="28"/>
      <c r="P16" s="373"/>
      <c r="Q16" s="28"/>
    </row>
    <row r="17" spans="1:17" ht="16.2" customHeight="1" x14ac:dyDescent="0.25">
      <c r="A17" s="355"/>
      <c r="B17" s="12" t="s">
        <v>12</v>
      </c>
      <c r="C17" s="12" t="s">
        <v>185</v>
      </c>
      <c r="D17" s="368"/>
      <c r="E17" s="369"/>
      <c r="F17" s="16" t="s">
        <v>164</v>
      </c>
      <c r="H17" s="365"/>
      <c r="I17" s="18" t="s">
        <v>200</v>
      </c>
      <c r="J17" s="47" t="s">
        <v>216</v>
      </c>
      <c r="K17" s="33"/>
      <c r="L17" s="33"/>
      <c r="M17" s="33" t="s">
        <v>164</v>
      </c>
      <c r="N17" s="33"/>
      <c r="O17" s="28"/>
      <c r="P17" s="28"/>
      <c r="Q17" s="28"/>
    </row>
    <row r="18" spans="1:17" ht="16.2" customHeight="1" x14ac:dyDescent="0.25">
      <c r="A18" s="355"/>
      <c r="B18" s="12" t="s">
        <v>13</v>
      </c>
      <c r="C18" s="12" t="s">
        <v>184</v>
      </c>
      <c r="D18" s="370"/>
      <c r="E18" s="371"/>
      <c r="F18" s="18" t="s">
        <v>164</v>
      </c>
      <c r="H18" s="365"/>
      <c r="I18" s="12" t="s">
        <v>88</v>
      </c>
      <c r="J18" s="47" t="s">
        <v>226</v>
      </c>
      <c r="K18" s="33" t="s">
        <v>478</v>
      </c>
      <c r="L18" s="33">
        <v>0.64</v>
      </c>
      <c r="M18" s="33" t="s">
        <v>221</v>
      </c>
      <c r="N18" s="33"/>
      <c r="O18" s="28"/>
      <c r="P18" s="28"/>
      <c r="Q18" s="28"/>
    </row>
    <row r="19" spans="1:17" ht="16.2" customHeight="1" x14ac:dyDescent="0.25">
      <c r="A19" s="355"/>
      <c r="B19" s="12" t="s">
        <v>11</v>
      </c>
      <c r="C19" s="12" t="s">
        <v>163</v>
      </c>
      <c r="D19" s="18"/>
      <c r="E19" s="18"/>
      <c r="F19" s="18" t="s">
        <v>164</v>
      </c>
      <c r="H19" s="365"/>
      <c r="I19" s="18"/>
      <c r="J19" s="47" t="s">
        <v>258</v>
      </c>
      <c r="K19" s="33" t="s">
        <v>259</v>
      </c>
      <c r="L19" s="33">
        <v>0.82</v>
      </c>
      <c r="M19" s="33" t="s">
        <v>221</v>
      </c>
      <c r="N19" s="33"/>
      <c r="O19" s="28"/>
      <c r="P19" s="28"/>
      <c r="Q19" s="28"/>
    </row>
    <row r="20" spans="1:17" ht="16.2" customHeight="1" thickBot="1" x14ac:dyDescent="0.3">
      <c r="A20" s="356"/>
      <c r="B20" s="15" t="s">
        <v>14</v>
      </c>
      <c r="C20" s="15"/>
      <c r="D20" s="15"/>
      <c r="E20" s="15"/>
      <c r="F20" s="15"/>
      <c r="H20" s="365"/>
      <c r="I20" s="12" t="s">
        <v>230</v>
      </c>
      <c r="J20" s="47" t="s">
        <v>229</v>
      </c>
      <c r="K20" s="33" t="s">
        <v>130</v>
      </c>
      <c r="L20" s="33">
        <v>1.48</v>
      </c>
      <c r="M20" s="33" t="s">
        <v>221</v>
      </c>
      <c r="N20" s="33"/>
      <c r="O20" s="28"/>
      <c r="P20" s="28"/>
      <c r="Q20" s="28"/>
    </row>
    <row r="21" spans="1:17" ht="16.2" customHeight="1" thickBot="1" x14ac:dyDescent="0.3">
      <c r="A21" s="354" t="s">
        <v>15</v>
      </c>
      <c r="B21" s="16" t="s">
        <v>139</v>
      </c>
      <c r="C21" s="16"/>
      <c r="D21" s="16" t="s">
        <v>138</v>
      </c>
      <c r="E21" s="16" t="s">
        <v>142</v>
      </c>
      <c r="F21" s="16" t="s">
        <v>134</v>
      </c>
      <c r="H21" s="365"/>
      <c r="I21" s="18"/>
      <c r="J21" s="47" t="s">
        <v>231</v>
      </c>
      <c r="K21" s="33" t="s">
        <v>153</v>
      </c>
      <c r="L21" s="33" t="s">
        <v>145</v>
      </c>
      <c r="M21" s="33" t="s">
        <v>221</v>
      </c>
      <c r="N21" s="33"/>
      <c r="O21" s="28"/>
      <c r="P21" s="28"/>
      <c r="Q21" s="28"/>
    </row>
    <row r="22" spans="1:17" ht="16.2" customHeight="1" x14ac:dyDescent="0.25">
      <c r="A22" s="355"/>
      <c r="B22" s="12" t="s">
        <v>16</v>
      </c>
      <c r="C22" s="12" t="s">
        <v>149</v>
      </c>
      <c r="D22" s="16" t="s">
        <v>147</v>
      </c>
      <c r="E22" s="16">
        <v>0.57999999999999996</v>
      </c>
      <c r="F22" s="18" t="s">
        <v>148</v>
      </c>
      <c r="H22" s="365"/>
      <c r="I22" s="18"/>
      <c r="J22" s="47" t="s">
        <v>232</v>
      </c>
      <c r="K22" s="33" t="s">
        <v>233</v>
      </c>
      <c r="L22" s="33" t="s">
        <v>145</v>
      </c>
      <c r="M22" s="33" t="s">
        <v>221</v>
      </c>
      <c r="N22" s="33"/>
      <c r="O22" s="28"/>
      <c r="P22" s="28"/>
      <c r="Q22" s="28"/>
    </row>
    <row r="23" spans="1:17" ht="16.2" customHeight="1" x14ac:dyDescent="0.25">
      <c r="A23" s="355"/>
      <c r="B23" s="12" t="s">
        <v>140</v>
      </c>
      <c r="D23" s="18" t="s">
        <v>138</v>
      </c>
      <c r="E23" s="18" t="s">
        <v>143</v>
      </c>
      <c r="F23" s="18" t="s">
        <v>134</v>
      </c>
      <c r="H23" s="365"/>
      <c r="I23" s="18"/>
      <c r="J23" s="47" t="s">
        <v>245</v>
      </c>
      <c r="K23" s="33" t="s">
        <v>246</v>
      </c>
      <c r="L23" s="33">
        <f>14.9/13</f>
        <v>1.1461538461538461</v>
      </c>
      <c r="M23" s="33" t="s">
        <v>221</v>
      </c>
      <c r="N23" s="33"/>
      <c r="O23" s="28"/>
      <c r="P23" s="28"/>
      <c r="Q23" s="28"/>
    </row>
    <row r="24" spans="1:17" ht="16.2" customHeight="1" x14ac:dyDescent="0.25">
      <c r="A24" s="355"/>
      <c r="B24" s="12" t="s">
        <v>144</v>
      </c>
      <c r="C24" s="12"/>
      <c r="D24" s="18" t="s">
        <v>137</v>
      </c>
      <c r="E24" s="18" t="s">
        <v>141</v>
      </c>
      <c r="F24" s="18" t="s">
        <v>862</v>
      </c>
      <c r="H24" s="365"/>
      <c r="I24" s="18" t="s">
        <v>217</v>
      </c>
      <c r="J24" s="47" t="s">
        <v>218</v>
      </c>
      <c r="K24" s="33" t="s">
        <v>153</v>
      </c>
      <c r="L24" s="33" t="s">
        <v>219</v>
      </c>
      <c r="M24" s="33" t="s">
        <v>212</v>
      </c>
      <c r="N24" s="33"/>
      <c r="O24" s="28"/>
      <c r="P24" s="28"/>
      <c r="Q24" s="28"/>
    </row>
    <row r="25" spans="1:17" ht="16.2" customHeight="1" x14ac:dyDescent="0.25">
      <c r="A25" s="355"/>
      <c r="B25" s="12" t="s">
        <v>81</v>
      </c>
      <c r="C25" s="12"/>
      <c r="D25" s="378"/>
      <c r="E25" s="379"/>
      <c r="F25" s="18" t="s">
        <v>861</v>
      </c>
      <c r="H25" s="365"/>
      <c r="I25" s="18" t="s">
        <v>264</v>
      </c>
      <c r="J25" s="47" t="s">
        <v>265</v>
      </c>
      <c r="K25" s="33" t="s">
        <v>266</v>
      </c>
      <c r="L25" s="33">
        <v>1.23</v>
      </c>
      <c r="M25" s="33" t="s">
        <v>221</v>
      </c>
      <c r="N25" s="33"/>
      <c r="O25" s="28"/>
      <c r="P25" s="28"/>
      <c r="Q25" s="28"/>
    </row>
    <row r="26" spans="1:17" ht="16.2" customHeight="1" x14ac:dyDescent="0.25">
      <c r="A26" s="355"/>
      <c r="B26" s="12" t="s">
        <v>82</v>
      </c>
      <c r="C26" s="12"/>
      <c r="D26" s="18"/>
      <c r="E26" s="18"/>
      <c r="F26" s="211" t="s">
        <v>861</v>
      </c>
      <c r="H26" s="365"/>
      <c r="I26" s="12" t="s">
        <v>89</v>
      </c>
      <c r="J26" s="47" t="s">
        <v>227</v>
      </c>
      <c r="K26" s="33" t="s">
        <v>228</v>
      </c>
      <c r="L26" s="33">
        <v>0.53</v>
      </c>
      <c r="M26" s="33" t="s">
        <v>220</v>
      </c>
      <c r="N26" s="33"/>
      <c r="O26" s="28"/>
      <c r="P26" s="28"/>
      <c r="Q26" s="28"/>
    </row>
    <row r="27" spans="1:17" ht="16.2" customHeight="1" x14ac:dyDescent="0.25">
      <c r="A27" s="355"/>
      <c r="B27" s="12" t="s">
        <v>83</v>
      </c>
      <c r="C27" s="12"/>
      <c r="D27" s="18"/>
      <c r="E27" s="18"/>
      <c r="F27" s="211" t="s">
        <v>861</v>
      </c>
      <c r="H27" s="365"/>
      <c r="I27" s="18" t="s">
        <v>262</v>
      </c>
      <c r="J27" s="47" t="s">
        <v>263</v>
      </c>
      <c r="K27" s="33" t="s">
        <v>210</v>
      </c>
      <c r="L27" s="33">
        <v>0.7</v>
      </c>
      <c r="M27" s="33" t="s">
        <v>220</v>
      </c>
      <c r="N27" s="33"/>
      <c r="O27" s="28"/>
      <c r="P27" s="28"/>
      <c r="Q27" s="28"/>
    </row>
    <row r="28" spans="1:17" ht="16.2" customHeight="1" x14ac:dyDescent="0.25">
      <c r="A28" s="355"/>
      <c r="B28" s="12" t="s">
        <v>84</v>
      </c>
      <c r="C28" s="12"/>
      <c r="D28" s="18"/>
      <c r="E28" s="18"/>
      <c r="F28" s="211" t="s">
        <v>861</v>
      </c>
      <c r="H28" s="365"/>
      <c r="I28" s="12" t="s">
        <v>90</v>
      </c>
      <c r="J28" s="47" t="s">
        <v>261</v>
      </c>
      <c r="K28" s="33" t="s">
        <v>253</v>
      </c>
      <c r="L28" s="33">
        <v>0.71</v>
      </c>
      <c r="M28" s="33" t="s">
        <v>221</v>
      </c>
      <c r="N28" s="33"/>
      <c r="O28" s="28"/>
      <c r="P28" s="28"/>
      <c r="Q28" s="28"/>
    </row>
    <row r="29" spans="1:17" ht="16.2" customHeight="1" thickBot="1" x14ac:dyDescent="0.3">
      <c r="A29" s="356"/>
      <c r="B29" s="15" t="s">
        <v>17</v>
      </c>
      <c r="C29" s="15"/>
      <c r="D29" s="15"/>
      <c r="E29" s="15"/>
      <c r="F29" s="211" t="s">
        <v>861</v>
      </c>
      <c r="H29" s="365"/>
      <c r="I29" s="18" t="s">
        <v>239</v>
      </c>
      <c r="J29" s="47" t="s">
        <v>240</v>
      </c>
      <c r="K29" s="33" t="s">
        <v>222</v>
      </c>
      <c r="L29" s="33" t="s">
        <v>241</v>
      </c>
      <c r="M29" s="33" t="s">
        <v>221</v>
      </c>
      <c r="N29" s="33"/>
      <c r="O29" s="28"/>
      <c r="P29" s="28"/>
      <c r="Q29" s="28"/>
    </row>
    <row r="30" spans="1:17" ht="16.2" customHeight="1" x14ac:dyDescent="0.25">
      <c r="A30" s="354" t="s">
        <v>75</v>
      </c>
      <c r="B30" s="16" t="s">
        <v>76</v>
      </c>
      <c r="C30" s="16"/>
      <c r="D30" s="16"/>
      <c r="E30" s="16"/>
      <c r="F30" s="362" t="s">
        <v>868</v>
      </c>
      <c r="H30" s="365"/>
      <c r="I30" s="18" t="s">
        <v>242</v>
      </c>
      <c r="J30" s="47" t="s">
        <v>243</v>
      </c>
      <c r="K30" s="33" t="s">
        <v>153</v>
      </c>
      <c r="L30" s="33" t="s">
        <v>244</v>
      </c>
      <c r="M30" s="33" t="s">
        <v>221</v>
      </c>
      <c r="N30" s="33"/>
      <c r="O30" s="28"/>
      <c r="P30" s="28"/>
      <c r="Q30" s="28"/>
    </row>
    <row r="31" spans="1:17" ht="16.2" customHeight="1" x14ac:dyDescent="0.25">
      <c r="A31" s="355"/>
      <c r="B31" s="12" t="s">
        <v>77</v>
      </c>
      <c r="C31" s="12"/>
      <c r="D31" s="18"/>
      <c r="E31" s="18"/>
      <c r="F31" s="363"/>
      <c r="H31" s="365"/>
      <c r="I31" s="12" t="s">
        <v>92</v>
      </c>
      <c r="J31" s="47" t="s">
        <v>256</v>
      </c>
      <c r="K31" s="33" t="s">
        <v>257</v>
      </c>
      <c r="L31" s="33">
        <v>0.5</v>
      </c>
      <c r="M31" s="33" t="s">
        <v>221</v>
      </c>
      <c r="N31" s="33"/>
      <c r="O31" s="28"/>
      <c r="P31" s="28"/>
      <c r="Q31" s="28"/>
    </row>
    <row r="32" spans="1:17" ht="16.2" customHeight="1" x14ac:dyDescent="0.25">
      <c r="A32" s="355"/>
      <c r="B32" s="12" t="s">
        <v>78</v>
      </c>
      <c r="C32" s="12"/>
      <c r="D32" s="18"/>
      <c r="E32" s="18"/>
      <c r="F32" s="363"/>
      <c r="H32" s="365"/>
      <c r="I32" s="12" t="s">
        <v>91</v>
      </c>
      <c r="J32" s="47" t="s">
        <v>150</v>
      </c>
      <c r="K32" s="33" t="s">
        <v>151</v>
      </c>
      <c r="L32" s="33" t="s">
        <v>152</v>
      </c>
      <c r="M32" s="41" t="s">
        <v>205</v>
      </c>
      <c r="N32" s="33"/>
      <c r="O32" s="28"/>
      <c r="P32" s="28"/>
      <c r="Q32" s="28"/>
    </row>
    <row r="33" spans="1:17" ht="15.6" x14ac:dyDescent="0.25">
      <c r="A33" s="355"/>
      <c r="B33" s="13" t="s">
        <v>80</v>
      </c>
      <c r="C33" s="12"/>
      <c r="D33" s="18"/>
      <c r="E33" s="18"/>
      <c r="F33" s="363"/>
      <c r="H33" s="365"/>
      <c r="I33" s="18"/>
      <c r="J33" s="47" t="s">
        <v>234</v>
      </c>
      <c r="K33" s="33" t="s">
        <v>156</v>
      </c>
      <c r="L33" s="33" t="s">
        <v>235</v>
      </c>
      <c r="M33" s="33" t="s">
        <v>221</v>
      </c>
      <c r="N33" s="33"/>
      <c r="O33" s="28"/>
      <c r="P33" s="28"/>
      <c r="Q33" s="28"/>
    </row>
    <row r="34" spans="1:17" ht="16.2" customHeight="1" thickBot="1" x14ac:dyDescent="0.3">
      <c r="A34" s="356"/>
      <c r="B34" s="15" t="s">
        <v>79</v>
      </c>
      <c r="C34" s="15"/>
      <c r="D34" s="15"/>
      <c r="E34" s="15"/>
      <c r="F34" s="364"/>
      <c r="H34" s="365"/>
      <c r="I34" s="18" t="s">
        <v>236</v>
      </c>
      <c r="J34" s="47" t="s">
        <v>237</v>
      </c>
      <c r="K34" s="33" t="s">
        <v>233</v>
      </c>
      <c r="L34" s="33" t="s">
        <v>238</v>
      </c>
      <c r="M34" s="33" t="s">
        <v>221</v>
      </c>
      <c r="N34" s="33"/>
      <c r="O34" s="28"/>
      <c r="P34" s="28"/>
      <c r="Q34" s="28"/>
    </row>
    <row r="35" spans="1:17" ht="16.2" customHeight="1" x14ac:dyDescent="0.25">
      <c r="A35" s="352" t="s">
        <v>24</v>
      </c>
      <c r="B35" s="16" t="s">
        <v>99</v>
      </c>
      <c r="C35" s="16"/>
      <c r="D35" s="16"/>
      <c r="E35" s="16"/>
      <c r="F35" s="16"/>
      <c r="H35" s="365"/>
      <c r="I35" s="18" t="s">
        <v>249</v>
      </c>
      <c r="J35" s="47" t="s">
        <v>250</v>
      </c>
      <c r="K35" s="33" t="s">
        <v>251</v>
      </c>
      <c r="L35" s="33" t="s">
        <v>252</v>
      </c>
      <c r="M35" s="33" t="s">
        <v>221</v>
      </c>
      <c r="N35" s="33"/>
      <c r="O35" s="28"/>
      <c r="P35" s="28"/>
      <c r="Q35" s="28"/>
    </row>
    <row r="36" spans="1:17" ht="16.2" customHeight="1" thickBot="1" x14ac:dyDescent="0.3">
      <c r="A36" s="353"/>
      <c r="B36" s="15" t="s">
        <v>47</v>
      </c>
      <c r="C36" s="15"/>
      <c r="D36" s="15"/>
      <c r="E36" s="15"/>
      <c r="F36" s="15"/>
      <c r="H36" s="365"/>
      <c r="I36" s="12" t="s">
        <v>41</v>
      </c>
      <c r="J36" s="47" t="s">
        <v>254</v>
      </c>
      <c r="K36" s="33" t="s">
        <v>253</v>
      </c>
      <c r="L36" s="33" t="s">
        <v>255</v>
      </c>
      <c r="M36" s="33" t="s">
        <v>221</v>
      </c>
      <c r="N36" s="33"/>
      <c r="O36" s="28"/>
      <c r="P36" s="28"/>
      <c r="Q36" s="28"/>
    </row>
    <row r="37" spans="1:17" ht="16.2" customHeight="1" x14ac:dyDescent="0.25">
      <c r="A37" s="354" t="s">
        <v>18</v>
      </c>
      <c r="B37" s="16" t="s">
        <v>20</v>
      </c>
      <c r="C37" s="16"/>
      <c r="D37" s="16"/>
      <c r="E37" s="16"/>
      <c r="F37" s="16"/>
      <c r="H37" s="365"/>
      <c r="I37" s="26"/>
      <c r="J37" s="47" t="s">
        <v>318</v>
      </c>
      <c r="K37" s="33"/>
      <c r="L37" s="33">
        <v>1.1399999999999999</v>
      </c>
      <c r="M37" s="41" t="s">
        <v>319</v>
      </c>
      <c r="N37" s="33"/>
      <c r="O37" s="28"/>
      <c r="P37" s="28"/>
      <c r="Q37" s="28"/>
    </row>
    <row r="38" spans="1:17" ht="16.2" customHeight="1" x14ac:dyDescent="0.25">
      <c r="A38" s="355"/>
      <c r="B38" s="12" t="s">
        <v>21</v>
      </c>
      <c r="C38" s="12" t="s">
        <v>260</v>
      </c>
      <c r="D38" s="18" t="s">
        <v>207</v>
      </c>
      <c r="E38" s="18">
        <v>0.4</v>
      </c>
      <c r="F38" s="18" t="s">
        <v>221</v>
      </c>
      <c r="H38" s="365"/>
      <c r="I38" s="12" t="s">
        <v>206</v>
      </c>
      <c r="J38" s="47" t="s">
        <v>352</v>
      </c>
      <c r="K38" s="33" t="s">
        <v>207</v>
      </c>
      <c r="L38" s="33">
        <v>0.55000000000000004</v>
      </c>
      <c r="M38" s="33" t="s">
        <v>221</v>
      </c>
      <c r="N38" s="33"/>
      <c r="O38" s="28"/>
      <c r="P38" s="28"/>
      <c r="Q38" s="28"/>
    </row>
    <row r="39" spans="1:17" ht="15.6" customHeight="1" thickBot="1" x14ac:dyDescent="0.3">
      <c r="A39" s="356"/>
      <c r="B39" s="15" t="s">
        <v>22</v>
      </c>
      <c r="C39" s="15"/>
      <c r="D39" s="15"/>
      <c r="E39" s="15"/>
      <c r="F39" s="15" t="s">
        <v>868</v>
      </c>
      <c r="H39" s="365"/>
      <c r="I39" s="18" t="s">
        <v>208</v>
      </c>
      <c r="J39" s="47" t="s">
        <v>209</v>
      </c>
      <c r="K39" s="33" t="s">
        <v>210</v>
      </c>
      <c r="L39" s="33" t="s">
        <v>211</v>
      </c>
      <c r="M39" s="41" t="s">
        <v>276</v>
      </c>
      <c r="N39" s="33"/>
      <c r="O39" s="28"/>
      <c r="P39" s="28"/>
      <c r="Q39" s="28"/>
    </row>
    <row r="40" spans="1:17" ht="15.6" customHeight="1" x14ac:dyDescent="0.25">
      <c r="A40" s="17" t="s">
        <v>23</v>
      </c>
      <c r="B40" s="14" t="s">
        <v>869</v>
      </c>
      <c r="C40" s="14"/>
      <c r="D40" s="14"/>
      <c r="E40" s="14"/>
      <c r="F40" s="14" t="s">
        <v>872</v>
      </c>
      <c r="H40" s="365"/>
      <c r="I40" s="12" t="s">
        <v>273</v>
      </c>
      <c r="J40" s="47" t="s">
        <v>274</v>
      </c>
      <c r="K40" s="33" t="s">
        <v>131</v>
      </c>
      <c r="L40" s="33">
        <v>0.7</v>
      </c>
      <c r="M40" s="33" t="s">
        <v>275</v>
      </c>
      <c r="N40" s="33"/>
      <c r="O40" s="28"/>
      <c r="P40" s="28"/>
      <c r="Q40" s="28"/>
    </row>
    <row r="41" spans="1:17" ht="15.6" customHeight="1" x14ac:dyDescent="0.25">
      <c r="H41" s="365"/>
      <c r="I41" s="12" t="s">
        <v>93</v>
      </c>
      <c r="J41" s="47" t="s">
        <v>277</v>
      </c>
      <c r="K41" s="33" t="s">
        <v>153</v>
      </c>
      <c r="L41" s="33">
        <v>1.64</v>
      </c>
      <c r="M41" s="41" t="s">
        <v>280</v>
      </c>
      <c r="N41" s="33"/>
      <c r="O41" s="28"/>
      <c r="P41" s="28"/>
      <c r="Q41" s="28"/>
    </row>
    <row r="42" spans="1:17" ht="15.6" customHeight="1" x14ac:dyDescent="0.25">
      <c r="A42" s="1"/>
      <c r="B42" s="1"/>
      <c r="H42" s="365"/>
      <c r="I42" s="12" t="s">
        <v>94</v>
      </c>
      <c r="J42" s="47" t="s">
        <v>320</v>
      </c>
      <c r="K42" s="33" t="s">
        <v>321</v>
      </c>
      <c r="L42" s="33">
        <v>0.44</v>
      </c>
      <c r="M42" s="33" t="s">
        <v>498</v>
      </c>
      <c r="N42" s="33"/>
      <c r="O42" s="28"/>
      <c r="P42" s="28"/>
      <c r="Q42" s="28"/>
    </row>
    <row r="43" spans="1:17" ht="16.2" customHeight="1" x14ac:dyDescent="0.25">
      <c r="A43" s="1"/>
      <c r="B43" s="1"/>
      <c r="H43" s="365"/>
      <c r="I43" s="18" t="s">
        <v>154</v>
      </c>
      <c r="J43" s="47" t="s">
        <v>155</v>
      </c>
      <c r="K43" s="33" t="s">
        <v>156</v>
      </c>
      <c r="L43" s="33" t="s">
        <v>157</v>
      </c>
      <c r="M43" s="33" t="s">
        <v>134</v>
      </c>
      <c r="N43" s="33"/>
      <c r="O43" s="28"/>
      <c r="P43" s="28"/>
      <c r="Q43" s="28"/>
    </row>
    <row r="44" spans="1:17" ht="16.2" customHeight="1" x14ac:dyDescent="0.25">
      <c r="A44" s="1"/>
      <c r="H44" s="365"/>
      <c r="I44" s="12" t="s">
        <v>19</v>
      </c>
      <c r="J44" s="47" t="s">
        <v>248</v>
      </c>
      <c r="K44" s="33" t="s">
        <v>247</v>
      </c>
      <c r="L44" s="33">
        <v>0.28999999999999998</v>
      </c>
      <c r="M44" s="33" t="s">
        <v>221</v>
      </c>
      <c r="N44" s="33"/>
      <c r="O44" s="28"/>
      <c r="P44" s="28"/>
      <c r="Q44" s="28"/>
    </row>
    <row r="45" spans="1:17" x14ac:dyDescent="0.25">
      <c r="A45" s="10" t="s">
        <v>25</v>
      </c>
      <c r="B45" s="12" t="s">
        <v>26</v>
      </c>
      <c r="C45" s="12"/>
      <c r="D45" s="25"/>
      <c r="E45" s="25"/>
      <c r="F45" s="25"/>
      <c r="H45" s="365"/>
      <c r="I45" s="12" t="s">
        <v>95</v>
      </c>
      <c r="J45" s="47" t="s">
        <v>203</v>
      </c>
      <c r="K45" s="33" t="s">
        <v>202</v>
      </c>
      <c r="L45" s="33" t="s">
        <v>204</v>
      </c>
      <c r="M45" s="41" t="s">
        <v>276</v>
      </c>
      <c r="N45" s="33"/>
      <c r="O45" s="28"/>
      <c r="P45" s="28"/>
      <c r="Q45" s="28"/>
    </row>
    <row r="46" spans="1:17" ht="15.6" customHeight="1" thickBot="1" x14ac:dyDescent="0.3">
      <c r="A46" s="360" t="s">
        <v>65</v>
      </c>
      <c r="B46" s="12" t="s">
        <v>86</v>
      </c>
      <c r="C46" s="12"/>
      <c r="D46" s="25"/>
      <c r="E46" s="25"/>
      <c r="F46" s="25"/>
      <c r="H46" s="353"/>
      <c r="I46" s="15" t="s">
        <v>20</v>
      </c>
      <c r="J46" s="30" t="s">
        <v>285</v>
      </c>
      <c r="K46" s="34" t="s">
        <v>266</v>
      </c>
      <c r="L46" s="34">
        <v>1.5</v>
      </c>
      <c r="M46" s="42" t="s">
        <v>278</v>
      </c>
      <c r="N46" s="34"/>
      <c r="O46" s="30"/>
      <c r="P46" s="30"/>
      <c r="Q46" s="30"/>
    </row>
    <row r="47" spans="1:17" ht="16.2" customHeight="1" x14ac:dyDescent="0.25">
      <c r="A47" s="361"/>
      <c r="B47" s="12" t="s">
        <v>85</v>
      </c>
      <c r="C47" s="12"/>
      <c r="D47" s="25"/>
      <c r="E47" s="25"/>
      <c r="F47" s="25"/>
      <c r="H47" s="352" t="s">
        <v>23</v>
      </c>
      <c r="I47" s="16" t="s">
        <v>42</v>
      </c>
      <c r="J47" s="32" t="s">
        <v>350</v>
      </c>
      <c r="K47" s="31" t="s">
        <v>351</v>
      </c>
      <c r="L47" s="31">
        <v>1.72</v>
      </c>
      <c r="M47" s="43" t="s">
        <v>349</v>
      </c>
      <c r="N47" s="31"/>
      <c r="O47" s="32"/>
      <c r="P47" s="35"/>
      <c r="Q47" s="32"/>
    </row>
    <row r="48" spans="1:17" x14ac:dyDescent="0.25">
      <c r="H48" s="365"/>
      <c r="I48" s="12" t="s">
        <v>98</v>
      </c>
      <c r="J48" s="47" t="s">
        <v>516</v>
      </c>
      <c r="K48" s="33" t="s">
        <v>213</v>
      </c>
      <c r="L48" s="33" t="s">
        <v>214</v>
      </c>
      <c r="M48" s="33" t="s">
        <v>212</v>
      </c>
      <c r="N48" s="33"/>
      <c r="O48" s="28"/>
      <c r="P48" s="28"/>
      <c r="Q48" s="28"/>
    </row>
    <row r="49" spans="8:17" x14ac:dyDescent="0.25">
      <c r="H49" s="365"/>
      <c r="I49" s="12" t="s">
        <v>96</v>
      </c>
      <c r="J49" s="47" t="s">
        <v>270</v>
      </c>
      <c r="K49" s="33" t="s">
        <v>269</v>
      </c>
      <c r="L49" s="33">
        <v>2.95</v>
      </c>
      <c r="M49" s="33" t="s">
        <v>221</v>
      </c>
      <c r="N49" s="33"/>
      <c r="O49" s="28"/>
      <c r="P49" s="28"/>
      <c r="Q49" s="28"/>
    </row>
    <row r="50" spans="8:17" x14ac:dyDescent="0.25">
      <c r="H50" s="365"/>
      <c r="I50" s="18" t="s">
        <v>201</v>
      </c>
      <c r="J50" s="47" t="s">
        <v>271</v>
      </c>
      <c r="K50" s="33" t="s">
        <v>153</v>
      </c>
      <c r="L50" s="33">
        <v>0.92</v>
      </c>
      <c r="M50" s="33" t="s">
        <v>221</v>
      </c>
      <c r="N50" s="33"/>
      <c r="O50" s="28"/>
      <c r="P50" s="28"/>
      <c r="Q50" s="28"/>
    </row>
    <row r="51" spans="8:17" x14ac:dyDescent="0.25">
      <c r="H51" s="365"/>
      <c r="I51" s="12" t="s">
        <v>43</v>
      </c>
      <c r="J51" s="47" t="s">
        <v>271</v>
      </c>
      <c r="K51" s="33" t="s">
        <v>153</v>
      </c>
      <c r="L51" s="33">
        <v>0.92</v>
      </c>
      <c r="M51" s="33" t="s">
        <v>221</v>
      </c>
      <c r="N51" s="33"/>
      <c r="O51" s="28"/>
      <c r="P51" s="28"/>
      <c r="Q51" s="28"/>
    </row>
    <row r="52" spans="8:17" x14ac:dyDescent="0.25">
      <c r="H52" s="365"/>
      <c r="I52" s="12" t="s">
        <v>44</v>
      </c>
      <c r="J52" s="47" t="s">
        <v>272</v>
      </c>
      <c r="K52" s="33" t="s">
        <v>286</v>
      </c>
      <c r="L52" s="33">
        <v>2</v>
      </c>
      <c r="M52" s="33" t="s">
        <v>287</v>
      </c>
      <c r="N52" s="33"/>
      <c r="O52" s="28"/>
      <c r="P52" s="357"/>
      <c r="Q52" s="28"/>
    </row>
    <row r="53" spans="8:17" x14ac:dyDescent="0.25">
      <c r="H53" s="365"/>
      <c r="I53" s="376" t="s">
        <v>310</v>
      </c>
      <c r="J53" s="237" t="s">
        <v>311</v>
      </c>
      <c r="K53" s="26" t="s">
        <v>312</v>
      </c>
      <c r="L53" s="26">
        <v>1.8</v>
      </c>
      <c r="M53" s="24" t="s">
        <v>313</v>
      </c>
      <c r="N53" s="33"/>
      <c r="O53" s="28"/>
      <c r="P53" s="358"/>
      <c r="Q53" s="28"/>
    </row>
    <row r="54" spans="8:17" x14ac:dyDescent="0.25">
      <c r="H54" s="365"/>
      <c r="I54" s="377"/>
      <c r="J54" s="236" t="s">
        <v>314</v>
      </c>
      <c r="K54" s="33" t="s">
        <v>315</v>
      </c>
      <c r="L54" s="33">
        <v>2.8</v>
      </c>
      <c r="M54" s="24" t="s">
        <v>313</v>
      </c>
      <c r="N54" s="33"/>
      <c r="O54" s="28"/>
      <c r="P54" s="358"/>
      <c r="Q54" s="28"/>
    </row>
    <row r="55" spans="8:17" x14ac:dyDescent="0.25">
      <c r="H55" s="365"/>
      <c r="I55" s="26" t="s">
        <v>45</v>
      </c>
      <c r="J55" s="47"/>
      <c r="K55" s="33"/>
      <c r="L55" s="33"/>
      <c r="M55" s="33" t="s">
        <v>874</v>
      </c>
      <c r="N55" s="33"/>
      <c r="O55" s="28"/>
      <c r="P55" s="358"/>
      <c r="Q55" s="28"/>
    </row>
    <row r="56" spans="8:17" x14ac:dyDescent="0.25">
      <c r="H56" s="365"/>
      <c r="I56" s="12" t="s">
        <v>63</v>
      </c>
      <c r="J56" s="47"/>
      <c r="K56" s="33"/>
      <c r="L56" s="33"/>
      <c r="M56" s="212" t="s">
        <v>871</v>
      </c>
      <c r="N56" s="33"/>
      <c r="O56" s="28"/>
      <c r="P56" s="358"/>
      <c r="Q56" s="28"/>
    </row>
    <row r="57" spans="8:17" x14ac:dyDescent="0.25">
      <c r="H57" s="365"/>
      <c r="I57" s="12" t="s">
        <v>58</v>
      </c>
      <c r="J57" s="236" t="s">
        <v>303</v>
      </c>
      <c r="K57" s="33" t="s">
        <v>303</v>
      </c>
      <c r="L57" s="33">
        <v>1.8</v>
      </c>
      <c r="M57" s="41" t="s">
        <v>300</v>
      </c>
      <c r="N57" s="33"/>
      <c r="O57" s="28"/>
      <c r="P57" s="358"/>
      <c r="Q57" s="28"/>
    </row>
    <row r="58" spans="8:17" x14ac:dyDescent="0.25">
      <c r="H58" s="365"/>
      <c r="I58" s="12" t="s">
        <v>59</v>
      </c>
      <c r="J58" s="236" t="s">
        <v>867</v>
      </c>
      <c r="K58" s="33" t="s">
        <v>322</v>
      </c>
      <c r="L58" s="33">
        <v>1.8</v>
      </c>
      <c r="M58" s="33" t="s">
        <v>323</v>
      </c>
      <c r="N58" s="33"/>
      <c r="O58" s="28"/>
      <c r="P58" s="358"/>
      <c r="Q58" s="28"/>
    </row>
    <row r="59" spans="8:17" x14ac:dyDescent="0.25">
      <c r="H59" s="365"/>
      <c r="I59" s="12"/>
      <c r="J59" s="236" t="s">
        <v>324</v>
      </c>
      <c r="K59" s="33" t="s">
        <v>325</v>
      </c>
      <c r="L59" s="33">
        <v>1.05</v>
      </c>
      <c r="M59" s="41" t="s">
        <v>590</v>
      </c>
      <c r="N59" s="33"/>
      <c r="O59" s="28"/>
      <c r="P59" s="358"/>
      <c r="Q59" s="28"/>
    </row>
    <row r="60" spans="8:17" ht="16.8" thickBot="1" x14ac:dyDescent="0.3">
      <c r="H60" s="353"/>
      <c r="I60" s="15" t="s">
        <v>64</v>
      </c>
      <c r="J60" s="30"/>
      <c r="K60" s="34"/>
      <c r="L60" s="34"/>
      <c r="M60" s="34"/>
      <c r="N60" s="34"/>
      <c r="O60" s="30"/>
      <c r="P60" s="359"/>
      <c r="Q60" s="30"/>
    </row>
    <row r="61" spans="8:17" x14ac:dyDescent="0.25">
      <c r="H61" s="352" t="s">
        <v>46</v>
      </c>
      <c r="I61" s="16" t="s">
        <v>47</v>
      </c>
      <c r="J61" s="32"/>
      <c r="K61" s="31"/>
      <c r="L61" s="31"/>
      <c r="M61" s="31"/>
      <c r="N61" s="31"/>
      <c r="O61" s="32"/>
      <c r="P61" s="32"/>
      <c r="Q61" s="32"/>
    </row>
    <row r="62" spans="8:17" x14ac:dyDescent="0.25">
      <c r="H62" s="365"/>
      <c r="I62" s="217" t="s">
        <v>875</v>
      </c>
      <c r="J62" s="38"/>
      <c r="K62" s="37"/>
      <c r="L62" s="37"/>
      <c r="M62" s="37" t="s">
        <v>872</v>
      </c>
      <c r="N62" s="37"/>
      <c r="O62" s="38"/>
      <c r="P62" s="38"/>
      <c r="Q62" s="38"/>
    </row>
    <row r="63" spans="8:17" x14ac:dyDescent="0.25">
      <c r="H63" s="365"/>
      <c r="I63" s="12" t="s">
        <v>158</v>
      </c>
      <c r="J63" s="47" t="s">
        <v>279</v>
      </c>
      <c r="K63" s="33" t="s">
        <v>131</v>
      </c>
      <c r="L63" s="33">
        <v>0.81</v>
      </c>
      <c r="M63" s="41" t="s">
        <v>278</v>
      </c>
      <c r="N63" s="33"/>
      <c r="O63" s="28"/>
      <c r="P63" s="28"/>
      <c r="Q63" s="28"/>
    </row>
    <row r="64" spans="8:17" x14ac:dyDescent="0.25">
      <c r="H64" s="365"/>
      <c r="I64" s="12" t="s">
        <v>281</v>
      </c>
      <c r="J64" s="47" t="s">
        <v>282</v>
      </c>
      <c r="K64" s="33" t="s">
        <v>131</v>
      </c>
      <c r="L64" s="33">
        <v>1.1599999999999999</v>
      </c>
      <c r="M64" s="41" t="s">
        <v>278</v>
      </c>
      <c r="N64" s="33"/>
      <c r="O64" s="28"/>
      <c r="P64" s="28"/>
      <c r="Q64" s="28"/>
    </row>
    <row r="65" spans="8:17" x14ac:dyDescent="0.25">
      <c r="H65" s="365"/>
      <c r="I65" s="12" t="s">
        <v>48</v>
      </c>
      <c r="J65" s="47" t="s">
        <v>291</v>
      </c>
      <c r="K65" s="33" t="s">
        <v>207</v>
      </c>
      <c r="L65" s="33">
        <v>1.69</v>
      </c>
      <c r="M65" s="33" t="s">
        <v>221</v>
      </c>
      <c r="N65" s="33"/>
      <c r="O65" s="28"/>
      <c r="P65" s="28"/>
      <c r="Q65" s="28"/>
    </row>
    <row r="66" spans="8:17" ht="16.8" thickBot="1" x14ac:dyDescent="0.3">
      <c r="H66" s="353"/>
      <c r="I66" s="15" t="s">
        <v>66</v>
      </c>
      <c r="J66" s="30" t="s">
        <v>289</v>
      </c>
      <c r="K66" s="34" t="s">
        <v>246</v>
      </c>
      <c r="L66" s="34">
        <v>1.52</v>
      </c>
      <c r="M66" s="34" t="s">
        <v>290</v>
      </c>
      <c r="N66" s="34"/>
      <c r="O66" s="30"/>
      <c r="P66" s="30"/>
      <c r="Q66" s="30"/>
    </row>
    <row r="67" spans="8:17" x14ac:dyDescent="0.25">
      <c r="H67" s="352" t="s">
        <v>49</v>
      </c>
      <c r="I67" s="16" t="s">
        <v>53</v>
      </c>
      <c r="J67" s="32"/>
      <c r="K67" s="31"/>
      <c r="L67" s="31"/>
      <c r="M67" s="213" t="s">
        <v>882</v>
      </c>
      <c r="N67" s="31"/>
      <c r="O67" s="32"/>
      <c r="P67" s="32"/>
      <c r="Q67" s="32"/>
    </row>
    <row r="68" spans="8:17" x14ac:dyDescent="0.25">
      <c r="H68" s="365"/>
      <c r="I68" s="211" t="s">
        <v>50</v>
      </c>
      <c r="J68" s="47" t="s">
        <v>283</v>
      </c>
      <c r="K68" s="33" t="s">
        <v>284</v>
      </c>
      <c r="L68" s="33">
        <v>0.5</v>
      </c>
      <c r="M68" s="212" t="s">
        <v>531</v>
      </c>
      <c r="N68" s="33"/>
      <c r="O68" s="28"/>
      <c r="P68" s="28"/>
      <c r="Q68" s="28"/>
    </row>
    <row r="69" spans="8:17" x14ac:dyDescent="0.25">
      <c r="H69" s="365"/>
      <c r="I69" s="211" t="s">
        <v>880</v>
      </c>
      <c r="J69" s="47"/>
      <c r="K69" s="33"/>
      <c r="L69" s="33"/>
      <c r="M69" s="33" t="s">
        <v>300</v>
      </c>
      <c r="N69" s="33"/>
      <c r="O69" s="28"/>
      <c r="P69" s="28"/>
      <c r="Q69" s="28"/>
    </row>
    <row r="70" spans="8:17" x14ac:dyDescent="0.25">
      <c r="H70" s="365"/>
      <c r="I70" s="211" t="s">
        <v>51</v>
      </c>
      <c r="J70" s="47" t="s">
        <v>304</v>
      </c>
      <c r="K70" s="33" t="s">
        <v>207</v>
      </c>
      <c r="L70" s="33">
        <v>1.0900000000000001</v>
      </c>
      <c r="M70" s="33" t="s">
        <v>305</v>
      </c>
      <c r="N70" s="33"/>
      <c r="O70" s="28"/>
      <c r="P70" s="28"/>
      <c r="Q70" s="28"/>
    </row>
    <row r="71" spans="8:17" x14ac:dyDescent="0.25">
      <c r="H71" s="365"/>
      <c r="I71" s="376" t="s">
        <v>52</v>
      </c>
      <c r="J71" s="47" t="s">
        <v>308</v>
      </c>
      <c r="K71" s="33" t="s">
        <v>295</v>
      </c>
      <c r="L71" s="33">
        <v>0.76</v>
      </c>
      <c r="M71" s="33" t="s">
        <v>309</v>
      </c>
      <c r="N71" s="33"/>
      <c r="O71" s="28"/>
      <c r="P71" s="28"/>
      <c r="Q71" s="28"/>
    </row>
    <row r="72" spans="8:17" x14ac:dyDescent="0.25">
      <c r="H72" s="365"/>
      <c r="I72" s="377"/>
      <c r="J72" s="47" t="s">
        <v>306</v>
      </c>
      <c r="K72" s="33" t="s">
        <v>215</v>
      </c>
      <c r="L72" s="33">
        <v>2.1</v>
      </c>
      <c r="M72" s="212" t="s">
        <v>307</v>
      </c>
      <c r="N72" s="33"/>
      <c r="O72" s="28"/>
      <c r="P72" s="28"/>
      <c r="Q72" s="28"/>
    </row>
    <row r="73" spans="8:17" x14ac:dyDescent="0.25">
      <c r="H73" s="365"/>
      <c r="I73" s="211" t="s">
        <v>55</v>
      </c>
      <c r="J73" s="47"/>
      <c r="K73" s="33"/>
      <c r="L73" s="33"/>
      <c r="M73" s="33" t="s">
        <v>876</v>
      </c>
      <c r="N73" s="33"/>
      <c r="O73" s="28"/>
      <c r="P73" s="51"/>
      <c r="Q73" s="28"/>
    </row>
    <row r="74" spans="8:17" x14ac:dyDescent="0.25">
      <c r="H74" s="365"/>
      <c r="I74" s="211" t="s">
        <v>333</v>
      </c>
      <c r="J74" s="47" t="s">
        <v>334</v>
      </c>
      <c r="K74" s="33"/>
      <c r="L74" s="33"/>
      <c r="M74" s="212" t="s">
        <v>335</v>
      </c>
      <c r="N74" s="33"/>
      <c r="O74" s="28"/>
      <c r="P74" s="51"/>
      <c r="Q74" s="28"/>
    </row>
    <row r="75" spans="8:17" x14ac:dyDescent="0.25">
      <c r="H75" s="365"/>
      <c r="I75" s="211" t="s">
        <v>97</v>
      </c>
      <c r="J75" s="236" t="s">
        <v>866</v>
      </c>
      <c r="K75" s="33"/>
      <c r="L75" s="33"/>
      <c r="M75" s="33" t="s">
        <v>337</v>
      </c>
      <c r="N75" s="33"/>
      <c r="O75" s="28"/>
      <c r="P75" s="49"/>
      <c r="Q75" s="28"/>
    </row>
    <row r="76" spans="8:17" x14ac:dyDescent="0.25">
      <c r="H76" s="365"/>
      <c r="I76" s="211" t="s">
        <v>62</v>
      </c>
      <c r="J76" s="236" t="s">
        <v>865</v>
      </c>
      <c r="K76" s="33" t="s">
        <v>332</v>
      </c>
      <c r="L76" s="33">
        <v>0.1</v>
      </c>
      <c r="M76" s="33" t="s">
        <v>577</v>
      </c>
      <c r="N76" s="33"/>
      <c r="O76" s="28"/>
      <c r="P76" s="50"/>
      <c r="Q76" s="28"/>
    </row>
    <row r="77" spans="8:17" ht="16.8" thickBot="1" x14ac:dyDescent="0.3">
      <c r="H77" s="353"/>
      <c r="I77" s="214" t="s">
        <v>61</v>
      </c>
      <c r="J77" s="235" t="s">
        <v>864</v>
      </c>
      <c r="K77" s="34" t="s">
        <v>336</v>
      </c>
      <c r="L77" s="34">
        <v>3.12</v>
      </c>
      <c r="M77" s="42" t="s">
        <v>581</v>
      </c>
      <c r="N77" s="34"/>
      <c r="O77" s="30"/>
      <c r="P77" s="241"/>
      <c r="Q77" s="242"/>
    </row>
    <row r="78" spans="8:17" x14ac:dyDescent="0.25">
      <c r="H78" s="365" t="s">
        <v>54</v>
      </c>
      <c r="I78" s="14" t="s">
        <v>56</v>
      </c>
      <c r="J78" s="38"/>
      <c r="K78" s="37"/>
      <c r="L78" s="37"/>
      <c r="M78" s="238" t="s">
        <v>300</v>
      </c>
      <c r="N78" s="37"/>
      <c r="O78" s="38"/>
      <c r="P78" s="50"/>
      <c r="Q78" s="38"/>
    </row>
    <row r="79" spans="8:17" x14ac:dyDescent="0.25">
      <c r="H79" s="365"/>
      <c r="I79" s="217" t="s">
        <v>877</v>
      </c>
      <c r="J79" s="38"/>
      <c r="K79" s="37"/>
      <c r="L79" s="37"/>
      <c r="M79" s="238" t="s">
        <v>879</v>
      </c>
      <c r="N79" s="37"/>
      <c r="O79" s="38"/>
      <c r="P79" s="50"/>
      <c r="Q79" s="38"/>
    </row>
    <row r="80" spans="8:17" x14ac:dyDescent="0.25">
      <c r="H80" s="365"/>
      <c r="I80" s="12" t="s">
        <v>57</v>
      </c>
      <c r="J80" s="47"/>
      <c r="K80" s="33"/>
      <c r="L80" s="33"/>
      <c r="M80" s="239" t="s">
        <v>300</v>
      </c>
      <c r="N80" s="33"/>
      <c r="O80" s="28"/>
      <c r="P80" s="50"/>
      <c r="Q80" s="28"/>
    </row>
    <row r="81" spans="8:17" x14ac:dyDescent="0.25">
      <c r="H81" s="365"/>
      <c r="I81" s="2" t="s">
        <v>407</v>
      </c>
      <c r="J81" s="48"/>
      <c r="K81" s="33" t="s">
        <v>328</v>
      </c>
      <c r="L81" s="33">
        <v>1.75</v>
      </c>
      <c r="M81" s="239" t="s">
        <v>326</v>
      </c>
      <c r="N81" s="33"/>
      <c r="O81" s="28"/>
      <c r="P81" s="50"/>
      <c r="Q81" s="28"/>
    </row>
    <row r="82" spans="8:17" x14ac:dyDescent="0.25">
      <c r="H82" s="365"/>
      <c r="I82" s="12" t="s">
        <v>327</v>
      </c>
      <c r="J82" s="48"/>
      <c r="K82" s="33" t="s">
        <v>328</v>
      </c>
      <c r="L82" s="33">
        <v>2.13</v>
      </c>
      <c r="M82" s="239" t="s">
        <v>326</v>
      </c>
      <c r="N82" s="33"/>
      <c r="O82" s="28"/>
      <c r="P82" s="50"/>
      <c r="Q82" s="28"/>
    </row>
    <row r="83" spans="8:17" x14ac:dyDescent="0.25">
      <c r="H83" s="365"/>
      <c r="I83" s="26" t="s">
        <v>329</v>
      </c>
      <c r="J83" s="48"/>
      <c r="K83" s="33" t="s">
        <v>330</v>
      </c>
      <c r="L83" s="33">
        <v>1.5</v>
      </c>
      <c r="M83" s="239" t="s">
        <v>326</v>
      </c>
      <c r="N83" s="33"/>
      <c r="O83" s="28"/>
      <c r="P83" s="50"/>
      <c r="Q83" s="28"/>
    </row>
    <row r="84" spans="8:17" x14ac:dyDescent="0.25">
      <c r="H84" s="361"/>
      <c r="I84" s="26" t="s">
        <v>331</v>
      </c>
      <c r="J84" s="48"/>
      <c r="K84" s="33" t="s">
        <v>332</v>
      </c>
      <c r="L84" s="33">
        <v>1.5</v>
      </c>
      <c r="M84" s="239" t="s">
        <v>300</v>
      </c>
      <c r="N84" s="33"/>
      <c r="O84" s="28"/>
      <c r="P84" s="243"/>
      <c r="Q84" s="28"/>
    </row>
    <row r="85" spans="8:17" x14ac:dyDescent="0.25">
      <c r="K85" s="36"/>
      <c r="L85" s="36"/>
      <c r="M85" s="36"/>
      <c r="N85" s="36"/>
      <c r="O85" s="39"/>
      <c r="P85" s="39"/>
      <c r="Q85" s="39"/>
    </row>
    <row r="86" spans="8:17" x14ac:dyDescent="0.25">
      <c r="K86" s="36"/>
      <c r="L86" s="36"/>
      <c r="M86" s="36"/>
      <c r="N86" s="36"/>
      <c r="O86" s="39"/>
      <c r="P86" s="39"/>
      <c r="Q86" s="39"/>
    </row>
    <row r="87" spans="8:17" x14ac:dyDescent="0.25">
      <c r="K87" s="36"/>
      <c r="L87" s="36"/>
      <c r="M87" s="36"/>
      <c r="N87" s="36"/>
      <c r="O87" s="39"/>
      <c r="P87" s="39"/>
      <c r="Q87" s="39"/>
    </row>
    <row r="88" spans="8:17" x14ac:dyDescent="0.25">
      <c r="K88" s="36"/>
      <c r="L88" s="36"/>
      <c r="M88" s="36"/>
      <c r="N88" s="36"/>
      <c r="O88" s="39"/>
      <c r="P88" s="39"/>
      <c r="Q88" s="39"/>
    </row>
    <row r="89" spans="8:17" x14ac:dyDescent="0.25">
      <c r="K89" s="36"/>
      <c r="L89" s="36"/>
      <c r="M89" s="36"/>
      <c r="N89" s="36"/>
      <c r="O89" s="39"/>
      <c r="P89" s="39"/>
      <c r="Q89" s="39"/>
    </row>
    <row r="90" spans="8:17" x14ac:dyDescent="0.25">
      <c r="K90" s="36"/>
      <c r="L90" s="36"/>
      <c r="M90" s="36"/>
      <c r="N90" s="36"/>
      <c r="O90" s="39"/>
      <c r="P90" s="39"/>
      <c r="Q90" s="39"/>
    </row>
    <row r="91" spans="8:17" x14ac:dyDescent="0.25">
      <c r="K91" s="36"/>
      <c r="L91" s="36"/>
      <c r="M91" s="36"/>
      <c r="N91" s="36"/>
      <c r="O91" s="39"/>
      <c r="P91" s="39"/>
      <c r="Q91" s="39"/>
    </row>
    <row r="92" spans="8:17" x14ac:dyDescent="0.25">
      <c r="K92" s="36"/>
      <c r="L92" s="36"/>
      <c r="M92" s="36"/>
      <c r="N92" s="36"/>
      <c r="O92" s="39"/>
    </row>
  </sheetData>
  <mergeCells count="27">
    <mergeCell ref="A1:R1"/>
    <mergeCell ref="H78:H84"/>
    <mergeCell ref="H47:H60"/>
    <mergeCell ref="H61:H66"/>
    <mergeCell ref="I53:I54"/>
    <mergeCell ref="I71:I72"/>
    <mergeCell ref="H67:H77"/>
    <mergeCell ref="D25:E25"/>
    <mergeCell ref="H2:Q2"/>
    <mergeCell ref="A4:A7"/>
    <mergeCell ref="H4:H11"/>
    <mergeCell ref="P4:P11"/>
    <mergeCell ref="A13:A20"/>
    <mergeCell ref="H12:H14"/>
    <mergeCell ref="P12:P14"/>
    <mergeCell ref="A2:F2"/>
    <mergeCell ref="A8:A12"/>
    <mergeCell ref="D13:E18"/>
    <mergeCell ref="P15:P16"/>
    <mergeCell ref="A21:A29"/>
    <mergeCell ref="A30:A34"/>
    <mergeCell ref="A35:A36"/>
    <mergeCell ref="A37:A39"/>
    <mergeCell ref="P52:P60"/>
    <mergeCell ref="A46:A47"/>
    <mergeCell ref="F30:F34"/>
    <mergeCell ref="H15:H46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947D1-AD47-4DC4-B572-E29C3086E815}">
  <dimension ref="A1:Q71"/>
  <sheetViews>
    <sheetView zoomScale="102" zoomScaleNormal="102" workbookViewId="0">
      <selection activeCell="J45" sqref="J45"/>
    </sheetView>
  </sheetViews>
  <sheetFormatPr defaultRowHeight="16.2" x14ac:dyDescent="0.25"/>
  <cols>
    <col min="1" max="1" width="5.109375" style="65" customWidth="1"/>
    <col min="2" max="2" width="9.88671875" style="96" customWidth="1"/>
    <col min="3" max="3" width="7.109375" style="2" customWidth="1"/>
    <col min="4" max="4" width="20.33203125" style="2" customWidth="1"/>
    <col min="5" max="5" width="12.5546875" style="2" customWidth="1"/>
    <col min="6" max="6" width="11.109375" style="63" customWidth="1"/>
    <col min="7" max="7" width="13.21875" style="133" customWidth="1"/>
    <col min="8" max="8" width="10.44140625" style="120" customWidth="1"/>
    <col min="9" max="9" width="11.109375" style="133" customWidth="1"/>
    <col min="10" max="10" width="11.88671875" style="120" customWidth="1"/>
    <col min="11" max="11" width="31.77734375" style="63" customWidth="1"/>
    <col min="12" max="12" width="27.88671875" style="63" customWidth="1"/>
    <col min="13" max="13" width="9.33203125" style="63" customWidth="1"/>
    <col min="14" max="14" width="11.109375" style="63" customWidth="1"/>
    <col min="15" max="15" width="18" style="63" customWidth="1"/>
    <col min="16" max="16" width="17.77734375" style="54" customWidth="1"/>
    <col min="17" max="17" width="52.109375" style="1" customWidth="1"/>
    <col min="18" max="16384" width="8.88671875" style="1"/>
  </cols>
  <sheetData>
    <row r="1" spans="1:17" ht="25.8" customHeight="1" x14ac:dyDescent="0.25">
      <c r="A1" s="398" t="s">
        <v>364</v>
      </c>
      <c r="B1" s="399"/>
      <c r="C1" s="55" t="s">
        <v>70</v>
      </c>
      <c r="D1" s="55" t="s">
        <v>363</v>
      </c>
      <c r="E1" s="55" t="s">
        <v>354</v>
      </c>
      <c r="F1" s="58" t="s">
        <v>353</v>
      </c>
      <c r="G1" s="134" t="s">
        <v>639</v>
      </c>
      <c r="H1" s="107" t="s">
        <v>641</v>
      </c>
      <c r="I1" s="121" t="s">
        <v>640</v>
      </c>
      <c r="J1" s="108" t="s">
        <v>642</v>
      </c>
      <c r="K1" s="58" t="s">
        <v>411</v>
      </c>
      <c r="L1" s="58" t="s">
        <v>410</v>
      </c>
      <c r="M1" s="58" t="s">
        <v>408</v>
      </c>
      <c r="N1" s="58" t="s">
        <v>409</v>
      </c>
      <c r="O1" s="58" t="s">
        <v>133</v>
      </c>
      <c r="P1" s="418" t="s">
        <v>70</v>
      </c>
      <c r="Q1" s="418"/>
    </row>
    <row r="2" spans="1:17" ht="16.2" customHeight="1" x14ac:dyDescent="0.25">
      <c r="A2" s="400" t="s">
        <v>365</v>
      </c>
      <c r="B2" s="400" t="s">
        <v>373</v>
      </c>
      <c r="C2" s="396" t="s">
        <v>459</v>
      </c>
      <c r="D2" s="52" t="s">
        <v>38</v>
      </c>
      <c r="E2" s="52">
        <v>31.7</v>
      </c>
      <c r="F2" s="76">
        <f>N2/36</f>
        <v>0.98611111111111116</v>
      </c>
      <c r="G2" s="122">
        <f>I2*0.2389*E2/100</f>
        <v>137.45230949999998</v>
      </c>
      <c r="H2" s="109">
        <f>J2/100*E2</f>
        <v>5.3256000000000006</v>
      </c>
      <c r="I2" s="122">
        <v>1815</v>
      </c>
      <c r="J2" s="109">
        <v>16.8</v>
      </c>
      <c r="K2" s="392" t="s">
        <v>507</v>
      </c>
      <c r="L2" s="393"/>
      <c r="M2" s="68" t="s">
        <v>508</v>
      </c>
      <c r="N2" s="68">
        <f>21.9+13.6</f>
        <v>35.5</v>
      </c>
      <c r="O2" s="68" t="s">
        <v>638</v>
      </c>
      <c r="P2" s="419" t="s">
        <v>355</v>
      </c>
      <c r="Q2" s="13" t="s">
        <v>509</v>
      </c>
    </row>
    <row r="3" spans="1:17" ht="15.6" customHeight="1" x14ac:dyDescent="0.25">
      <c r="A3" s="401"/>
      <c r="B3" s="401"/>
      <c r="C3" s="389"/>
      <c r="D3" s="52" t="s">
        <v>464</v>
      </c>
      <c r="E3" s="52">
        <v>62.5</v>
      </c>
      <c r="F3" s="76">
        <f>N3/16/2</f>
        <v>0.93437499999999996</v>
      </c>
      <c r="G3" s="122">
        <f>I3*0.2389*E3/100</f>
        <v>245.61906250000001</v>
      </c>
      <c r="H3" s="109">
        <f>J3/100*E3</f>
        <v>6.875</v>
      </c>
      <c r="I3" s="122">
        <v>1645</v>
      </c>
      <c r="J3" s="109">
        <v>11</v>
      </c>
      <c r="K3" s="392" t="s">
        <v>467</v>
      </c>
      <c r="L3" s="393"/>
      <c r="M3" s="68" t="s">
        <v>466</v>
      </c>
      <c r="N3" s="68">
        <v>29.9</v>
      </c>
      <c r="O3" s="68" t="s">
        <v>465</v>
      </c>
      <c r="P3" s="419"/>
      <c r="Q3" s="13"/>
    </row>
    <row r="4" spans="1:17" ht="15.6" customHeight="1" x14ac:dyDescent="0.25">
      <c r="A4" s="401"/>
      <c r="B4" s="401"/>
      <c r="C4" s="91" t="s">
        <v>458</v>
      </c>
      <c r="D4" s="52" t="s">
        <v>43</v>
      </c>
      <c r="E4" s="52">
        <v>50</v>
      </c>
      <c r="F4" s="76">
        <f>N4/16/2</f>
        <v>1.05</v>
      </c>
      <c r="G4" s="122">
        <f>I4*0.2389*E4/100</f>
        <v>256.69805000000002</v>
      </c>
      <c r="H4" s="109">
        <f>J4/100*E4</f>
        <v>5.05</v>
      </c>
      <c r="I4" s="122">
        <v>2149</v>
      </c>
      <c r="J4" s="109">
        <v>10.1</v>
      </c>
      <c r="K4" s="392" t="s">
        <v>495</v>
      </c>
      <c r="L4" s="393"/>
      <c r="M4" s="68" t="s">
        <v>463</v>
      </c>
      <c r="N4" s="68">
        <f>16.8*2</f>
        <v>33.6</v>
      </c>
      <c r="O4" s="68" t="s">
        <v>465</v>
      </c>
      <c r="P4" s="419"/>
      <c r="Q4" s="13" t="s">
        <v>503</v>
      </c>
    </row>
    <row r="5" spans="1:17" ht="15.6" customHeight="1" x14ac:dyDescent="0.25">
      <c r="A5" s="401"/>
      <c r="B5" s="401"/>
      <c r="C5" s="91" t="s">
        <v>456</v>
      </c>
      <c r="D5" s="52" t="s">
        <v>94</v>
      </c>
      <c r="E5" s="52">
        <v>18.2</v>
      </c>
      <c r="F5" s="76">
        <f>N5/55</f>
        <v>0.39636363636363636</v>
      </c>
      <c r="G5" s="122">
        <f t="shared" ref="G5:G6" si="0">I5*0.2389*E5/100</f>
        <v>89.003150599999984</v>
      </c>
      <c r="H5" s="109">
        <f t="shared" ref="H5:H6" si="1">J5/100*E5</f>
        <v>1.2921999999999998</v>
      </c>
      <c r="I5" s="123">
        <v>2047</v>
      </c>
      <c r="J5" s="110">
        <v>7.1</v>
      </c>
      <c r="K5" s="392" t="s">
        <v>500</v>
      </c>
      <c r="L5" s="393"/>
      <c r="M5" s="68" t="s">
        <v>501</v>
      </c>
      <c r="N5" s="68">
        <v>21.8</v>
      </c>
      <c r="O5" s="68" t="s">
        <v>648</v>
      </c>
      <c r="P5" s="419"/>
      <c r="Q5" s="13" t="s">
        <v>510</v>
      </c>
    </row>
    <row r="6" spans="1:17" ht="15.6" customHeight="1" x14ac:dyDescent="0.25">
      <c r="A6" s="401"/>
      <c r="B6" s="401"/>
      <c r="C6" s="91" t="s">
        <v>460</v>
      </c>
      <c r="D6" s="52" t="s">
        <v>47</v>
      </c>
      <c r="E6" s="52">
        <v>15</v>
      </c>
      <c r="F6" s="76">
        <v>0</v>
      </c>
      <c r="G6" s="122">
        <f t="shared" si="0"/>
        <v>34.544940000000004</v>
      </c>
      <c r="H6" s="109">
        <f t="shared" si="1"/>
        <v>6.0150000000000006</v>
      </c>
      <c r="I6" s="123">
        <v>964</v>
      </c>
      <c r="J6" s="110">
        <v>40.1</v>
      </c>
      <c r="K6" s="68"/>
      <c r="L6" s="68"/>
      <c r="M6" s="68"/>
      <c r="N6" s="68"/>
      <c r="O6" s="68" t="s">
        <v>643</v>
      </c>
      <c r="P6" s="419"/>
      <c r="Q6" s="13"/>
    </row>
    <row r="7" spans="1:17" ht="16.2" customHeight="1" thickBot="1" x14ac:dyDescent="0.3">
      <c r="A7" s="401"/>
      <c r="B7" s="404"/>
      <c r="C7" s="387" t="s">
        <v>356</v>
      </c>
      <c r="D7" s="384"/>
      <c r="E7" s="97">
        <f>SUM(E2:E6)</f>
        <v>177.39999999999998</v>
      </c>
      <c r="F7" s="98">
        <f>SUM(F2:F6)</f>
        <v>3.3668497474747476</v>
      </c>
      <c r="G7" s="98">
        <f t="shared" ref="G7:H7" si="2">SUM(G2:G6)</f>
        <v>763.3175126000001</v>
      </c>
      <c r="H7" s="111">
        <f t="shared" si="2"/>
        <v>24.557800000000004</v>
      </c>
      <c r="I7" s="124"/>
      <c r="J7" s="111"/>
      <c r="K7" s="59"/>
      <c r="L7" s="59"/>
      <c r="M7" s="59"/>
      <c r="N7" s="59">
        <f>SUM(N2:N6)</f>
        <v>120.8</v>
      </c>
      <c r="O7" s="59"/>
      <c r="P7" s="420"/>
      <c r="Q7" s="13"/>
    </row>
    <row r="8" spans="1:17" ht="15.6" x14ac:dyDescent="0.25">
      <c r="A8" s="401"/>
      <c r="B8" s="405" t="s">
        <v>374</v>
      </c>
      <c r="C8" s="397" t="s">
        <v>459</v>
      </c>
      <c r="D8" s="16" t="s">
        <v>146</v>
      </c>
      <c r="E8" s="16">
        <v>30</v>
      </c>
      <c r="F8" s="60">
        <f>N8/10</f>
        <v>1.28</v>
      </c>
      <c r="G8" s="125">
        <f>I8*0.2389/100*E8</f>
        <v>121.839</v>
      </c>
      <c r="H8" s="112">
        <f>J8/100*E8</f>
        <v>5.3999999999999995</v>
      </c>
      <c r="I8" s="125">
        <v>1700</v>
      </c>
      <c r="J8" s="112">
        <v>18</v>
      </c>
      <c r="K8" s="394" t="s">
        <v>504</v>
      </c>
      <c r="L8" s="395"/>
      <c r="M8" s="60" t="s">
        <v>343</v>
      </c>
      <c r="N8" s="60">
        <v>12.8</v>
      </c>
      <c r="O8" s="60" t="s">
        <v>505</v>
      </c>
      <c r="P8" s="421" t="s">
        <v>362</v>
      </c>
      <c r="Q8" s="13" t="s">
        <v>506</v>
      </c>
    </row>
    <row r="9" spans="1:17" ht="15.6" x14ac:dyDescent="0.25">
      <c r="A9" s="401"/>
      <c r="B9" s="401"/>
      <c r="C9" s="389"/>
      <c r="D9" s="52" t="s">
        <v>357</v>
      </c>
      <c r="E9" s="52">
        <v>100</v>
      </c>
      <c r="F9" s="76">
        <f>N9/16</f>
        <v>2.0499999999999998</v>
      </c>
      <c r="G9" s="122">
        <f>I9*0.2389*E9/100</f>
        <v>363.84469999999999</v>
      </c>
      <c r="H9" s="109">
        <f>J9/100*E9</f>
        <v>7.19</v>
      </c>
      <c r="I9" s="122">
        <v>1523</v>
      </c>
      <c r="J9" s="109">
        <v>7.19</v>
      </c>
      <c r="K9" s="392" t="s">
        <v>462</v>
      </c>
      <c r="L9" s="393"/>
      <c r="M9" s="68" t="s">
        <v>463</v>
      </c>
      <c r="N9" s="68">
        <v>32.799999999999997</v>
      </c>
      <c r="O9" s="68" t="s">
        <v>319</v>
      </c>
      <c r="P9" s="422"/>
      <c r="Q9" s="13"/>
    </row>
    <row r="10" spans="1:17" ht="15.6" x14ac:dyDescent="0.25">
      <c r="A10" s="401"/>
      <c r="B10" s="401"/>
      <c r="C10" s="102" t="s">
        <v>457</v>
      </c>
      <c r="D10" s="52" t="s">
        <v>206</v>
      </c>
      <c r="E10" s="52">
        <v>20</v>
      </c>
      <c r="F10" s="76">
        <f>N10/83</f>
        <v>0.4795180722891566</v>
      </c>
      <c r="G10" s="122">
        <f>I10*0.2389*E10/100</f>
        <v>83.75833999999999</v>
      </c>
      <c r="H10" s="109">
        <f>J10/100*E10</f>
        <v>1.5</v>
      </c>
      <c r="I10" s="122">
        <v>1753</v>
      </c>
      <c r="J10" s="109">
        <v>7.5</v>
      </c>
      <c r="K10" s="392" t="s">
        <v>537</v>
      </c>
      <c r="L10" s="393"/>
      <c r="M10" s="68" t="s">
        <v>538</v>
      </c>
      <c r="N10" s="68">
        <f>29.9+9.9</f>
        <v>39.799999999999997</v>
      </c>
      <c r="O10" s="68" t="s">
        <v>465</v>
      </c>
      <c r="P10" s="422"/>
      <c r="Q10" s="13" t="s">
        <v>539</v>
      </c>
    </row>
    <row r="11" spans="1:17" ht="15.6" x14ac:dyDescent="0.25">
      <c r="A11" s="401"/>
      <c r="B11" s="401"/>
      <c r="C11" s="102" t="s">
        <v>616</v>
      </c>
      <c r="D11" s="52" t="s">
        <v>87</v>
      </c>
      <c r="E11" s="52">
        <v>25.4</v>
      </c>
      <c r="F11" s="76">
        <f>N11/66*4</f>
        <v>0.84242424242424241</v>
      </c>
      <c r="G11" s="122">
        <f>I11*0.2389*E11/100</f>
        <v>142.78145179999999</v>
      </c>
      <c r="H11" s="109">
        <f>J11/100*E11</f>
        <v>1.8541999999999998</v>
      </c>
      <c r="I11" s="122">
        <v>2353</v>
      </c>
      <c r="J11" s="109">
        <v>7.3</v>
      </c>
      <c r="K11" s="392" t="s">
        <v>514</v>
      </c>
      <c r="L11" s="393"/>
      <c r="M11" s="68" t="s">
        <v>513</v>
      </c>
      <c r="N11" s="68">
        <v>13.9</v>
      </c>
      <c r="O11" s="68" t="s">
        <v>512</v>
      </c>
      <c r="P11" s="422"/>
      <c r="Q11" s="13" t="s">
        <v>515</v>
      </c>
    </row>
    <row r="12" spans="1:17" ht="15.6" x14ac:dyDescent="0.25">
      <c r="A12" s="401"/>
      <c r="B12" s="401"/>
      <c r="C12" s="102" t="s">
        <v>460</v>
      </c>
      <c r="D12" s="52" t="s">
        <v>358</v>
      </c>
      <c r="E12" s="52">
        <v>15</v>
      </c>
      <c r="F12" s="76">
        <v>0</v>
      </c>
      <c r="G12" s="123">
        <f>G6</f>
        <v>34.544940000000004</v>
      </c>
      <c r="H12" s="110">
        <f>H6</f>
        <v>6.0150000000000006</v>
      </c>
      <c r="I12" s="123"/>
      <c r="J12" s="110"/>
      <c r="K12" s="68"/>
      <c r="L12" s="68"/>
      <c r="M12" s="68"/>
      <c r="N12" s="68"/>
      <c r="O12" s="68"/>
      <c r="P12" s="422"/>
      <c r="Q12" s="13"/>
    </row>
    <row r="13" spans="1:17" ht="16.8" thickBot="1" x14ac:dyDescent="0.3">
      <c r="A13" s="401"/>
      <c r="B13" s="404"/>
      <c r="C13" s="387" t="s">
        <v>356</v>
      </c>
      <c r="D13" s="384"/>
      <c r="E13" s="97">
        <f>SUM(E8:E12)</f>
        <v>190.4</v>
      </c>
      <c r="F13" s="98">
        <f>SUM(F8:F12)</f>
        <v>4.6519423147133994</v>
      </c>
      <c r="G13" s="98">
        <f t="shared" ref="G13:H13" si="3">SUM(G8:G12)</f>
        <v>746.76843180000003</v>
      </c>
      <c r="H13" s="111">
        <f t="shared" si="3"/>
        <v>21.959200000000003</v>
      </c>
      <c r="I13" s="124"/>
      <c r="J13" s="111"/>
      <c r="K13" s="59"/>
      <c r="L13" s="59"/>
      <c r="M13" s="59"/>
      <c r="N13" s="59">
        <f>SUM(N8:N12)</f>
        <v>99.3</v>
      </c>
      <c r="O13" s="59"/>
      <c r="P13" s="423"/>
      <c r="Q13" s="13"/>
    </row>
    <row r="14" spans="1:17" ht="15.6" x14ac:dyDescent="0.25">
      <c r="A14" s="401"/>
      <c r="B14" s="407" t="s">
        <v>386</v>
      </c>
      <c r="C14" s="388" t="s">
        <v>617</v>
      </c>
      <c r="D14" s="14" t="s">
        <v>359</v>
      </c>
      <c r="E14" s="14">
        <v>20</v>
      </c>
      <c r="F14" s="61">
        <v>0</v>
      </c>
      <c r="G14" s="126">
        <f>I14*0.2389/100*E14</f>
        <v>91.546480000000003</v>
      </c>
      <c r="H14" s="113">
        <f>J14/100*E14</f>
        <v>0.89999999999999991</v>
      </c>
      <c r="I14" s="126">
        <v>1916</v>
      </c>
      <c r="J14" s="113">
        <v>4.5</v>
      </c>
      <c r="K14" s="61"/>
      <c r="L14" s="61"/>
      <c r="M14" s="61"/>
      <c r="N14" s="61"/>
      <c r="O14" s="61" t="s">
        <v>643</v>
      </c>
      <c r="P14" s="424" t="s">
        <v>361</v>
      </c>
      <c r="Q14" s="13"/>
    </row>
    <row r="15" spans="1:17" ht="15.6" x14ac:dyDescent="0.25">
      <c r="A15" s="401"/>
      <c r="B15" s="401"/>
      <c r="C15" s="389"/>
      <c r="D15" s="52" t="s">
        <v>360</v>
      </c>
      <c r="E15" s="52">
        <v>93.8</v>
      </c>
      <c r="F15" s="76">
        <f>N15/16/2</f>
        <v>1.71875</v>
      </c>
      <c r="G15" s="126">
        <f t="shared" ref="G15:G16" si="4">I15*0.2389/100*E15</f>
        <v>382.51855739999996</v>
      </c>
      <c r="H15" s="113">
        <f t="shared" ref="H15:H16" si="5">J15/100*E15</f>
        <v>10.693200000000001</v>
      </c>
      <c r="I15" s="122">
        <v>1707</v>
      </c>
      <c r="J15" s="109">
        <v>11.4</v>
      </c>
      <c r="K15" s="392" t="s">
        <v>517</v>
      </c>
      <c r="L15" s="393"/>
      <c r="M15" s="68" t="s">
        <v>518</v>
      </c>
      <c r="N15" s="68">
        <v>55</v>
      </c>
      <c r="O15" s="68" t="s">
        <v>519</v>
      </c>
      <c r="P15" s="425"/>
      <c r="Q15" s="13"/>
    </row>
    <row r="16" spans="1:17" ht="15.6" x14ac:dyDescent="0.25">
      <c r="A16" s="401"/>
      <c r="B16" s="401"/>
      <c r="C16" s="102" t="s">
        <v>618</v>
      </c>
      <c r="D16" s="52" t="s">
        <v>476</v>
      </c>
      <c r="E16" s="52">
        <v>55.5</v>
      </c>
      <c r="F16" s="76">
        <f>N16/36</f>
        <v>0.94166666666666665</v>
      </c>
      <c r="G16" s="126">
        <f t="shared" si="4"/>
        <v>175.4159085</v>
      </c>
      <c r="H16" s="113">
        <f t="shared" si="5"/>
        <v>4.9950000000000001</v>
      </c>
      <c r="I16" s="122">
        <v>1323</v>
      </c>
      <c r="J16" s="109">
        <v>9</v>
      </c>
      <c r="K16" s="392" t="s">
        <v>474</v>
      </c>
      <c r="L16" s="393"/>
      <c r="M16" s="68" t="s">
        <v>475</v>
      </c>
      <c r="N16" s="68">
        <v>33.9</v>
      </c>
      <c r="O16" s="68" t="s">
        <v>465</v>
      </c>
      <c r="P16" s="425"/>
      <c r="Q16" s="13" t="s">
        <v>477</v>
      </c>
    </row>
    <row r="17" spans="1:17" ht="15.6" x14ac:dyDescent="0.25">
      <c r="A17" s="401"/>
      <c r="B17" s="401"/>
      <c r="C17" s="102" t="s">
        <v>460</v>
      </c>
      <c r="D17" s="52" t="s">
        <v>358</v>
      </c>
      <c r="E17" s="52">
        <v>15</v>
      </c>
      <c r="F17" s="76">
        <v>0</v>
      </c>
      <c r="G17" s="123">
        <f>G6</f>
        <v>34.544940000000004</v>
      </c>
      <c r="H17" s="110">
        <f>H6</f>
        <v>6.0150000000000006</v>
      </c>
      <c r="I17" s="123"/>
      <c r="J17" s="110"/>
      <c r="K17" s="68"/>
      <c r="L17" s="68"/>
      <c r="M17" s="68"/>
      <c r="N17" s="68"/>
      <c r="O17" s="68"/>
      <c r="P17" s="425"/>
      <c r="Q17" s="13"/>
    </row>
    <row r="18" spans="1:17" ht="16.8" thickBot="1" x14ac:dyDescent="0.3">
      <c r="A18" s="402"/>
      <c r="B18" s="402"/>
      <c r="C18" s="390" t="s">
        <v>356</v>
      </c>
      <c r="D18" s="391"/>
      <c r="E18" s="99">
        <f>SUM(E14:E17)</f>
        <v>184.3</v>
      </c>
      <c r="F18" s="100">
        <f>SUM(F14:F17)</f>
        <v>2.6604166666666664</v>
      </c>
      <c r="G18" s="100">
        <f t="shared" ref="G18:H18" si="6">SUM(G14:G17)</f>
        <v>684.02588589999993</v>
      </c>
      <c r="H18" s="135">
        <f t="shared" si="6"/>
        <v>22.603200000000001</v>
      </c>
      <c r="I18" s="127"/>
      <c r="J18" s="114"/>
      <c r="K18" s="92"/>
      <c r="L18" s="92"/>
      <c r="M18" s="92"/>
      <c r="N18" s="92">
        <f>SUM(N15:N17)</f>
        <v>88.9</v>
      </c>
      <c r="O18" s="92"/>
      <c r="P18" s="426"/>
      <c r="Q18" s="13"/>
    </row>
    <row r="19" spans="1:17" thickTop="1" x14ac:dyDescent="0.25">
      <c r="A19" s="406" t="s">
        <v>372</v>
      </c>
      <c r="B19" s="403" t="s">
        <v>375</v>
      </c>
      <c r="C19" s="103" t="s">
        <v>618</v>
      </c>
      <c r="D19" s="66" t="s">
        <v>366</v>
      </c>
      <c r="E19" s="66">
        <v>100</v>
      </c>
      <c r="F19" s="67">
        <f>N19/35</f>
        <v>1.4942857142857144</v>
      </c>
      <c r="G19" s="126">
        <f>I19*0.2389/100*E19</f>
        <v>397.05180000000001</v>
      </c>
      <c r="H19" s="115">
        <f>J19/100*E19</f>
        <v>8.5</v>
      </c>
      <c r="I19" s="123">
        <v>1662</v>
      </c>
      <c r="J19" s="110">
        <v>8.5</v>
      </c>
      <c r="K19" s="411" t="s">
        <v>469</v>
      </c>
      <c r="L19" s="411"/>
      <c r="M19" s="68" t="s">
        <v>468</v>
      </c>
      <c r="N19" s="68">
        <f>14.8*3+7.9</f>
        <v>52.300000000000004</v>
      </c>
      <c r="O19" s="68" t="s">
        <v>465</v>
      </c>
      <c r="P19" s="413"/>
      <c r="Q19" s="13" t="s">
        <v>473</v>
      </c>
    </row>
    <row r="20" spans="1:17" ht="15.6" x14ac:dyDescent="0.25">
      <c r="A20" s="401"/>
      <c r="B20" s="401"/>
      <c r="C20" s="102" t="s">
        <v>458</v>
      </c>
      <c r="D20" s="52" t="s">
        <v>367</v>
      </c>
      <c r="E20" s="52">
        <v>50</v>
      </c>
      <c r="F20" s="76">
        <f>N20/48</f>
        <v>0.99374999999999991</v>
      </c>
      <c r="G20" s="122">
        <f>G4</f>
        <v>256.69805000000002</v>
      </c>
      <c r="H20" s="109">
        <f>H4</f>
        <v>5.05</v>
      </c>
      <c r="I20" s="123"/>
      <c r="J20" s="110"/>
      <c r="K20" s="392" t="s">
        <v>499</v>
      </c>
      <c r="L20" s="393"/>
      <c r="M20" s="68" t="s">
        <v>496</v>
      </c>
      <c r="N20" s="68">
        <f>38.8+8.9</f>
        <v>47.699999999999996</v>
      </c>
      <c r="O20" s="68" t="s">
        <v>465</v>
      </c>
      <c r="P20" s="414"/>
      <c r="Q20" s="13"/>
    </row>
    <row r="21" spans="1:17" ht="15.6" x14ac:dyDescent="0.25">
      <c r="A21" s="401"/>
      <c r="B21" s="401"/>
      <c r="C21" s="102" t="s">
        <v>619</v>
      </c>
      <c r="D21" s="52" t="s">
        <v>524</v>
      </c>
      <c r="E21" s="52">
        <v>60</v>
      </c>
      <c r="F21" s="76">
        <f>N21/100</f>
        <v>1.7197</v>
      </c>
      <c r="G21" s="126">
        <f t="shared" ref="G21" si="7">I21*0.2389/100*E21</f>
        <v>131.94447</v>
      </c>
      <c r="H21" s="113">
        <f t="shared" ref="H21" si="8">J21/100*E21</f>
        <v>13.5</v>
      </c>
      <c r="I21" s="122">
        <v>920.5</v>
      </c>
      <c r="J21" s="109">
        <v>22.5</v>
      </c>
      <c r="K21" s="392" t="s">
        <v>653</v>
      </c>
      <c r="L21" s="393"/>
      <c r="M21" s="68" t="s">
        <v>655</v>
      </c>
      <c r="N21" s="68">
        <f>64.99*2+41.99</f>
        <v>171.97</v>
      </c>
      <c r="O21" s="68" t="s">
        <v>644</v>
      </c>
      <c r="P21" s="414"/>
      <c r="Q21" s="13" t="s">
        <v>656</v>
      </c>
    </row>
    <row r="22" spans="1:17" ht="15.6" x14ac:dyDescent="0.25">
      <c r="A22" s="401"/>
      <c r="B22" s="401"/>
      <c r="C22" s="102" t="s">
        <v>460</v>
      </c>
      <c r="D22" s="52" t="s">
        <v>358</v>
      </c>
      <c r="E22" s="52">
        <v>30</v>
      </c>
      <c r="F22" s="76">
        <v>0</v>
      </c>
      <c r="G22" s="123">
        <f>G6*2</f>
        <v>69.089880000000008</v>
      </c>
      <c r="H22" s="110">
        <f>H6*2</f>
        <v>12.030000000000001</v>
      </c>
      <c r="I22" s="123"/>
      <c r="J22" s="110"/>
      <c r="K22" s="68"/>
      <c r="L22" s="68"/>
      <c r="M22" s="68"/>
      <c r="N22" s="68"/>
      <c r="O22" s="68"/>
      <c r="P22" s="414"/>
      <c r="Q22" s="13"/>
    </row>
    <row r="23" spans="1:17" ht="16.8" thickBot="1" x14ac:dyDescent="0.3">
      <c r="A23" s="401"/>
      <c r="B23" s="404"/>
      <c r="C23" s="383" t="s">
        <v>356</v>
      </c>
      <c r="D23" s="384"/>
      <c r="E23" s="97">
        <f>SUM(E19:E22)</f>
        <v>240</v>
      </c>
      <c r="F23" s="98">
        <f>SUM(F19:F22)</f>
        <v>4.2077357142857146</v>
      </c>
      <c r="G23" s="98">
        <f t="shared" ref="G23:H23" si="9">SUM(G19:G22)</f>
        <v>854.78420000000006</v>
      </c>
      <c r="H23" s="111">
        <f t="shared" si="9"/>
        <v>39.08</v>
      </c>
      <c r="I23" s="111"/>
      <c r="J23" s="111"/>
      <c r="K23" s="94"/>
      <c r="L23" s="94"/>
      <c r="M23" s="94"/>
      <c r="N23" s="94">
        <f>SUM(N19:N22)</f>
        <v>271.97000000000003</v>
      </c>
      <c r="O23" s="94"/>
      <c r="P23" s="415"/>
      <c r="Q23" s="13"/>
    </row>
    <row r="24" spans="1:17" ht="15.6" x14ac:dyDescent="0.25">
      <c r="A24" s="401"/>
      <c r="B24" s="405" t="s">
        <v>376</v>
      </c>
      <c r="C24" s="104" t="s">
        <v>618</v>
      </c>
      <c r="D24" s="16" t="s">
        <v>368</v>
      </c>
      <c r="E24" s="16">
        <v>80</v>
      </c>
      <c r="F24" s="60">
        <f>N24/35</f>
        <v>1.7628571428571427</v>
      </c>
      <c r="G24" s="128">
        <f>I24*0.2389/100*E24</f>
        <v>303.49856</v>
      </c>
      <c r="H24" s="115">
        <f>J24/100*E24</f>
        <v>6.6400000000000006</v>
      </c>
      <c r="I24" s="128">
        <v>1588</v>
      </c>
      <c r="J24" s="115">
        <v>8.3000000000000007</v>
      </c>
      <c r="K24" s="392" t="s">
        <v>490</v>
      </c>
      <c r="L24" s="393"/>
      <c r="M24" s="68" t="s">
        <v>491</v>
      </c>
      <c r="N24" s="68">
        <f>33.9+17.9+9.9</f>
        <v>61.699999999999996</v>
      </c>
      <c r="O24" s="68" t="s">
        <v>465</v>
      </c>
      <c r="P24" s="416"/>
      <c r="Q24" s="13" t="s">
        <v>492</v>
      </c>
    </row>
    <row r="25" spans="1:17" ht="15.6" x14ac:dyDescent="0.25">
      <c r="A25" s="401"/>
      <c r="B25" s="401"/>
      <c r="C25" s="102" t="s">
        <v>618</v>
      </c>
      <c r="D25" s="52" t="s">
        <v>369</v>
      </c>
      <c r="E25" s="52">
        <v>30</v>
      </c>
      <c r="F25" s="76">
        <f>N25/34</f>
        <v>0.67352941176470582</v>
      </c>
      <c r="G25" s="128">
        <f t="shared" ref="G25:G27" si="10">I25*0.2389/100*E25</f>
        <v>133.16285999999999</v>
      </c>
      <c r="H25" s="115">
        <f t="shared" ref="H25:H27" si="11">J25/100*E25</f>
        <v>1.38</v>
      </c>
      <c r="I25" s="122">
        <v>1858</v>
      </c>
      <c r="J25" s="109">
        <v>4.5999999999999996</v>
      </c>
      <c r="K25" s="392" t="s">
        <v>522</v>
      </c>
      <c r="L25" s="393"/>
      <c r="M25" s="68" t="s">
        <v>501</v>
      </c>
      <c r="N25" s="68">
        <v>22.9</v>
      </c>
      <c r="O25" s="68" t="s">
        <v>511</v>
      </c>
      <c r="P25" s="414"/>
      <c r="Q25" s="13" t="s">
        <v>523</v>
      </c>
    </row>
    <row r="26" spans="1:17" ht="15.6" x14ac:dyDescent="0.25">
      <c r="A26" s="401"/>
      <c r="B26" s="401"/>
      <c r="C26" s="102" t="s">
        <v>619</v>
      </c>
      <c r="D26" s="52" t="s">
        <v>525</v>
      </c>
      <c r="E26" s="52">
        <v>28</v>
      </c>
      <c r="F26" s="76">
        <f>N26/3/17</f>
        <v>0.87254901960784315</v>
      </c>
      <c r="G26" s="128">
        <f>G21/60*28</f>
        <v>61.574086000000001</v>
      </c>
      <c r="H26" s="115">
        <f>H21/60*28</f>
        <v>6.3</v>
      </c>
      <c r="I26" s="122"/>
      <c r="J26" s="109"/>
      <c r="K26" s="392" t="s">
        <v>526</v>
      </c>
      <c r="L26" s="393"/>
      <c r="M26" s="68" t="s">
        <v>527</v>
      </c>
      <c r="N26" s="68">
        <v>44.5</v>
      </c>
      <c r="O26" s="68" t="s">
        <v>309</v>
      </c>
      <c r="P26" s="414"/>
      <c r="Q26" s="13" t="s">
        <v>528</v>
      </c>
    </row>
    <row r="27" spans="1:17" ht="15.6" x14ac:dyDescent="0.25">
      <c r="A27" s="401"/>
      <c r="B27" s="401"/>
      <c r="C27" s="102" t="s">
        <v>619</v>
      </c>
      <c r="D27" s="52" t="s">
        <v>370</v>
      </c>
      <c r="E27" s="52">
        <v>31.3</v>
      </c>
      <c r="F27" s="76">
        <f>N27/16/2</f>
        <v>0.93125000000000002</v>
      </c>
      <c r="G27" s="128">
        <f t="shared" si="10"/>
        <v>109.6959519</v>
      </c>
      <c r="H27" s="115">
        <f t="shared" si="11"/>
        <v>0.37559999999999999</v>
      </c>
      <c r="I27" s="122">
        <v>1467</v>
      </c>
      <c r="J27" s="109">
        <v>1.2</v>
      </c>
      <c r="K27" s="392" t="s">
        <v>494</v>
      </c>
      <c r="L27" s="393"/>
      <c r="M27" s="68" t="s">
        <v>481</v>
      </c>
      <c r="N27" s="68">
        <v>29.8</v>
      </c>
      <c r="O27" s="68" t="s">
        <v>493</v>
      </c>
      <c r="P27" s="414"/>
      <c r="Q27" s="13"/>
    </row>
    <row r="28" spans="1:17" ht="15.6" x14ac:dyDescent="0.25">
      <c r="A28" s="401"/>
      <c r="B28" s="401"/>
      <c r="C28" s="102" t="s">
        <v>460</v>
      </c>
      <c r="D28" s="52" t="s">
        <v>358</v>
      </c>
      <c r="E28" s="52">
        <v>30</v>
      </c>
      <c r="F28" s="76">
        <v>0</v>
      </c>
      <c r="G28" s="123">
        <f>G22</f>
        <v>69.089880000000008</v>
      </c>
      <c r="H28" s="110">
        <f>H22</f>
        <v>12.030000000000001</v>
      </c>
      <c r="I28" s="123"/>
      <c r="J28" s="110"/>
      <c r="K28" s="68"/>
      <c r="L28" s="68"/>
      <c r="M28" s="68"/>
      <c r="N28" s="68"/>
      <c r="O28" s="68"/>
      <c r="P28" s="414"/>
      <c r="Q28" s="13"/>
    </row>
    <row r="29" spans="1:17" ht="16.8" thickBot="1" x14ac:dyDescent="0.3">
      <c r="A29" s="401"/>
      <c r="B29" s="404"/>
      <c r="C29" s="383" t="s">
        <v>356</v>
      </c>
      <c r="D29" s="384"/>
      <c r="E29" s="97">
        <f>SUM(E24:E28)</f>
        <v>199.3</v>
      </c>
      <c r="F29" s="98">
        <f>SUM(F24:F28)</f>
        <v>4.2401855742296917</v>
      </c>
      <c r="G29" s="98">
        <f t="shared" ref="G29:H29" si="12">SUM(G24:G28)</f>
        <v>677.02133790000005</v>
      </c>
      <c r="H29" s="111">
        <f t="shared" si="12"/>
        <v>26.7256</v>
      </c>
      <c r="I29" s="111"/>
      <c r="J29" s="111"/>
      <c r="K29" s="93"/>
      <c r="L29" s="93"/>
      <c r="M29" s="93"/>
      <c r="N29" s="78">
        <f>SUM(N24:N28)</f>
        <v>158.9</v>
      </c>
      <c r="O29" s="80"/>
      <c r="P29" s="415"/>
      <c r="Q29" s="13"/>
    </row>
    <row r="30" spans="1:17" ht="15.6" x14ac:dyDescent="0.25">
      <c r="A30" s="401"/>
      <c r="B30" s="405" t="s">
        <v>377</v>
      </c>
      <c r="C30" s="104" t="s">
        <v>618</v>
      </c>
      <c r="D30" s="16" t="s">
        <v>470</v>
      </c>
      <c r="E30" s="16">
        <v>50</v>
      </c>
      <c r="F30" s="60">
        <f>N30/16</f>
        <v>1.1125</v>
      </c>
      <c r="G30" s="123">
        <f>I30*0.2389/100*E30</f>
        <v>160.54079999999999</v>
      </c>
      <c r="H30" s="110">
        <f>J30/100*E30</f>
        <v>4.45</v>
      </c>
      <c r="I30" s="129">
        <v>1344</v>
      </c>
      <c r="J30" s="116">
        <v>8.9</v>
      </c>
      <c r="K30" s="412" t="s">
        <v>471</v>
      </c>
      <c r="L30" s="412"/>
      <c r="M30" s="90" t="s">
        <v>472</v>
      </c>
      <c r="N30" s="79">
        <v>17.8</v>
      </c>
      <c r="O30" s="79" t="s">
        <v>465</v>
      </c>
      <c r="P30" s="416"/>
      <c r="Q30" s="13"/>
    </row>
    <row r="31" spans="1:17" ht="15.6" x14ac:dyDescent="0.25">
      <c r="A31" s="401"/>
      <c r="B31" s="401"/>
      <c r="C31" s="102" t="s">
        <v>618</v>
      </c>
      <c r="D31" s="52" t="s">
        <v>479</v>
      </c>
      <c r="E31" s="52">
        <v>41.6</v>
      </c>
      <c r="F31" s="76">
        <f>N31/24</f>
        <v>0.82500000000000007</v>
      </c>
      <c r="G31" s="123">
        <f>I31*0.2389/100*E31</f>
        <v>147.78162880000002</v>
      </c>
      <c r="H31" s="110">
        <f>J31/100*E31</f>
        <v>2.9952000000000005</v>
      </c>
      <c r="I31" s="122">
        <v>1487</v>
      </c>
      <c r="J31" s="109">
        <v>7.2</v>
      </c>
      <c r="K31" s="392" t="s">
        <v>480</v>
      </c>
      <c r="L31" s="393"/>
      <c r="M31" s="68" t="s">
        <v>481</v>
      </c>
      <c r="N31" s="68">
        <f>9.9*2</f>
        <v>19.8</v>
      </c>
      <c r="O31" s="68" t="s">
        <v>465</v>
      </c>
      <c r="P31" s="414"/>
      <c r="Q31" s="13" t="s">
        <v>482</v>
      </c>
    </row>
    <row r="32" spans="1:17" ht="15.6" x14ac:dyDescent="0.25">
      <c r="A32" s="401"/>
      <c r="B32" s="401"/>
      <c r="C32" s="102" t="s">
        <v>458</v>
      </c>
      <c r="D32" s="52" t="s">
        <v>367</v>
      </c>
      <c r="E32" s="52">
        <v>50</v>
      </c>
      <c r="F32" s="76">
        <f>F20</f>
        <v>0.99374999999999991</v>
      </c>
      <c r="G32" s="122">
        <f>G4</f>
        <v>256.69805000000002</v>
      </c>
      <c r="H32" s="109">
        <f>H4</f>
        <v>5.05</v>
      </c>
      <c r="I32" s="122"/>
      <c r="J32" s="109"/>
      <c r="K32" s="392" t="s">
        <v>497</v>
      </c>
      <c r="L32" s="393"/>
      <c r="M32" s="68"/>
      <c r="N32" s="68"/>
      <c r="O32" s="68"/>
      <c r="P32" s="414"/>
      <c r="Q32" s="13"/>
    </row>
    <row r="33" spans="1:17" ht="15.6" x14ac:dyDescent="0.25">
      <c r="A33" s="401"/>
      <c r="B33" s="401"/>
      <c r="C33" s="102" t="s">
        <v>619</v>
      </c>
      <c r="D33" s="52" t="s">
        <v>525</v>
      </c>
      <c r="E33" s="52">
        <v>28</v>
      </c>
      <c r="F33" s="76">
        <f>F26</f>
        <v>0.87254901960784315</v>
      </c>
      <c r="G33" s="122">
        <f>G26</f>
        <v>61.574086000000001</v>
      </c>
      <c r="H33" s="109">
        <f>H26</f>
        <v>6.3</v>
      </c>
      <c r="I33" s="122"/>
      <c r="J33" s="109"/>
      <c r="K33" s="392" t="s">
        <v>529</v>
      </c>
      <c r="L33" s="393"/>
      <c r="M33" s="68"/>
      <c r="N33" s="68"/>
      <c r="O33" s="68"/>
      <c r="P33" s="414"/>
      <c r="Q33" s="13"/>
    </row>
    <row r="34" spans="1:17" ht="15.6" x14ac:dyDescent="0.25">
      <c r="A34" s="401"/>
      <c r="B34" s="401"/>
      <c r="C34" s="102" t="s">
        <v>619</v>
      </c>
      <c r="D34" s="52" t="s">
        <v>534</v>
      </c>
      <c r="E34" s="52">
        <v>15</v>
      </c>
      <c r="F34" s="76">
        <f>N34/20</f>
        <v>0.495</v>
      </c>
      <c r="G34" s="122">
        <f>22.2/100*E34</f>
        <v>3.33</v>
      </c>
      <c r="H34" s="109">
        <f>1.3/100*E34</f>
        <v>0.19500000000000001</v>
      </c>
      <c r="I34" s="122"/>
      <c r="J34" s="109"/>
      <c r="K34" s="392" t="s">
        <v>535</v>
      </c>
      <c r="L34" s="393"/>
      <c r="M34" s="68" t="s">
        <v>343</v>
      </c>
      <c r="N34" s="68">
        <v>9.9</v>
      </c>
      <c r="O34" s="68" t="s">
        <v>536</v>
      </c>
      <c r="P34" s="414"/>
      <c r="Q34" s="13" t="s">
        <v>559</v>
      </c>
    </row>
    <row r="35" spans="1:17" ht="15.6" x14ac:dyDescent="0.25">
      <c r="A35" s="401"/>
      <c r="B35" s="401"/>
      <c r="C35" s="102" t="s">
        <v>460</v>
      </c>
      <c r="D35" s="52" t="s">
        <v>358</v>
      </c>
      <c r="E35" s="52">
        <v>30</v>
      </c>
      <c r="F35" s="76">
        <v>0</v>
      </c>
      <c r="G35" s="123">
        <f>G22</f>
        <v>69.089880000000008</v>
      </c>
      <c r="H35" s="110">
        <f>H22</f>
        <v>12.030000000000001</v>
      </c>
      <c r="I35" s="123"/>
      <c r="J35" s="110"/>
      <c r="K35" s="68"/>
      <c r="L35" s="68"/>
      <c r="M35" s="68"/>
      <c r="N35" s="68"/>
      <c r="O35" s="68"/>
      <c r="P35" s="414"/>
      <c r="Q35" s="13"/>
    </row>
    <row r="36" spans="1:17" ht="16.8" thickBot="1" x14ac:dyDescent="0.3">
      <c r="A36" s="401"/>
      <c r="B36" s="404"/>
      <c r="C36" s="383" t="s">
        <v>356</v>
      </c>
      <c r="D36" s="384"/>
      <c r="E36" s="97">
        <f>SUM(E30:E35)</f>
        <v>214.6</v>
      </c>
      <c r="F36" s="98">
        <f>SUM(F30:F35)</f>
        <v>4.2987990196078432</v>
      </c>
      <c r="G36" s="98">
        <f t="shared" ref="G36:H36" si="13">SUM(G30:G35)</f>
        <v>699.01444480000009</v>
      </c>
      <c r="H36" s="111">
        <f t="shared" si="13"/>
        <v>31.020200000000003</v>
      </c>
      <c r="I36" s="130"/>
      <c r="J36" s="117"/>
      <c r="K36" s="80"/>
      <c r="L36" s="80"/>
      <c r="M36" s="80"/>
      <c r="N36" s="78">
        <f>SUM(N30:N35)</f>
        <v>47.5</v>
      </c>
      <c r="O36" s="80"/>
      <c r="P36" s="415"/>
      <c r="Q36" s="13"/>
    </row>
    <row r="37" spans="1:17" ht="15.6" x14ac:dyDescent="0.25">
      <c r="A37" s="401"/>
      <c r="B37" s="407" t="s">
        <v>385</v>
      </c>
      <c r="C37" s="85" t="s">
        <v>618</v>
      </c>
      <c r="D37" s="14" t="s">
        <v>483</v>
      </c>
      <c r="E37" s="14">
        <v>50</v>
      </c>
      <c r="F37" s="61">
        <f>N37/32</f>
        <v>1.0562499999999999</v>
      </c>
      <c r="G37" s="128">
        <f>I37*0.2389/100*E37</f>
        <v>166.15495000000001</v>
      </c>
      <c r="H37" s="115">
        <f>J37/100*E37</f>
        <v>4.05</v>
      </c>
      <c r="I37" s="128">
        <v>1391</v>
      </c>
      <c r="J37" s="115">
        <v>8.1</v>
      </c>
      <c r="K37" s="394" t="s">
        <v>484</v>
      </c>
      <c r="L37" s="395"/>
      <c r="M37" s="77" t="s">
        <v>463</v>
      </c>
      <c r="N37" s="77">
        <f>16.9*2</f>
        <v>33.799999999999997</v>
      </c>
      <c r="O37" s="77" t="s">
        <v>465</v>
      </c>
      <c r="P37" s="416"/>
      <c r="Q37" s="13"/>
    </row>
    <row r="38" spans="1:17" ht="15.6" x14ac:dyDescent="0.25">
      <c r="A38" s="401"/>
      <c r="B38" s="401"/>
      <c r="C38" s="102" t="s">
        <v>618</v>
      </c>
      <c r="D38" s="52" t="s">
        <v>371</v>
      </c>
      <c r="E38" s="52">
        <v>40</v>
      </c>
      <c r="F38" s="76">
        <f>F10*2</f>
        <v>0.95903614457831321</v>
      </c>
      <c r="G38" s="128">
        <f t="shared" ref="G38:G39" si="14">I38*0.2389/100*E38</f>
        <v>167.51667999999998</v>
      </c>
      <c r="H38" s="115">
        <f t="shared" ref="H38:H39" si="15">J38/100*E38</f>
        <v>3</v>
      </c>
      <c r="I38" s="122">
        <v>1753</v>
      </c>
      <c r="J38" s="109">
        <v>7.5</v>
      </c>
      <c r="K38" s="392" t="s">
        <v>540</v>
      </c>
      <c r="L38" s="393"/>
      <c r="M38" s="68"/>
      <c r="N38" s="68"/>
      <c r="O38" s="68"/>
      <c r="P38" s="414"/>
      <c r="Q38" s="13"/>
    </row>
    <row r="39" spans="1:17" ht="15.6" x14ac:dyDescent="0.25">
      <c r="A39" s="401"/>
      <c r="B39" s="401"/>
      <c r="C39" s="102" t="s">
        <v>460</v>
      </c>
      <c r="D39" s="52" t="s">
        <v>541</v>
      </c>
      <c r="E39" s="52">
        <v>32</v>
      </c>
      <c r="F39" s="76">
        <f>N39/20</f>
        <v>0.99</v>
      </c>
      <c r="G39" s="128">
        <f t="shared" si="14"/>
        <v>61.540640000000003</v>
      </c>
      <c r="H39" s="115">
        <f t="shared" si="15"/>
        <v>3.52</v>
      </c>
      <c r="I39" s="122">
        <v>805</v>
      </c>
      <c r="J39" s="109">
        <v>11</v>
      </c>
      <c r="K39" s="392" t="s">
        <v>557</v>
      </c>
      <c r="L39" s="393"/>
      <c r="M39" s="68" t="s">
        <v>556</v>
      </c>
      <c r="N39" s="68">
        <f>9.9*2</f>
        <v>19.8</v>
      </c>
      <c r="O39" s="68" t="s">
        <v>558</v>
      </c>
      <c r="P39" s="414"/>
      <c r="Q39" s="13" t="s">
        <v>560</v>
      </c>
    </row>
    <row r="40" spans="1:17" ht="15.6" x14ac:dyDescent="0.25">
      <c r="A40" s="401"/>
      <c r="B40" s="401"/>
      <c r="C40" s="102" t="s">
        <v>619</v>
      </c>
      <c r="D40" s="52" t="s">
        <v>524</v>
      </c>
      <c r="E40" s="52">
        <v>60</v>
      </c>
      <c r="F40" s="76">
        <f>F21</f>
        <v>1.7197</v>
      </c>
      <c r="G40" s="128">
        <f>G21</f>
        <v>131.94447</v>
      </c>
      <c r="H40" s="115">
        <f>H21</f>
        <v>13.5</v>
      </c>
      <c r="I40" s="122"/>
      <c r="J40" s="109"/>
      <c r="K40" s="392" t="s">
        <v>530</v>
      </c>
      <c r="L40" s="393"/>
      <c r="M40" s="68"/>
      <c r="N40" s="68"/>
      <c r="O40" s="68"/>
      <c r="P40" s="414"/>
      <c r="Q40" s="13"/>
    </row>
    <row r="41" spans="1:17" ht="15.6" x14ac:dyDescent="0.25">
      <c r="A41" s="401"/>
      <c r="B41" s="401"/>
      <c r="C41" s="102" t="s">
        <v>460</v>
      </c>
      <c r="D41" s="52" t="s">
        <v>358</v>
      </c>
      <c r="E41" s="52">
        <v>30</v>
      </c>
      <c r="F41" s="76">
        <v>0</v>
      </c>
      <c r="G41" s="123">
        <f>G22</f>
        <v>69.089880000000008</v>
      </c>
      <c r="H41" s="110">
        <f>H22</f>
        <v>12.030000000000001</v>
      </c>
      <c r="I41" s="123"/>
      <c r="J41" s="110"/>
      <c r="K41" s="68"/>
      <c r="L41" s="68"/>
      <c r="M41" s="68"/>
      <c r="N41" s="68"/>
      <c r="O41" s="68"/>
      <c r="P41" s="414"/>
      <c r="Q41" s="13"/>
    </row>
    <row r="42" spans="1:17" ht="16.8" thickBot="1" x14ac:dyDescent="0.3">
      <c r="A42" s="402"/>
      <c r="B42" s="402"/>
      <c r="C42" s="390" t="s">
        <v>356</v>
      </c>
      <c r="D42" s="391"/>
      <c r="E42" s="99">
        <f>SUM(E37:E41)</f>
        <v>212</v>
      </c>
      <c r="F42" s="100">
        <f>SUM(F37:F41)</f>
        <v>4.7249861445783132</v>
      </c>
      <c r="G42" s="100">
        <f t="shared" ref="G42:H42" si="16">SUM(G37:G41)</f>
        <v>596.24662000000001</v>
      </c>
      <c r="H42" s="135">
        <f t="shared" si="16"/>
        <v>36.1</v>
      </c>
      <c r="I42" s="131"/>
      <c r="J42" s="118"/>
      <c r="K42" s="81"/>
      <c r="L42" s="81"/>
      <c r="M42" s="81"/>
      <c r="N42" s="95">
        <f>SUM(N37:N41)</f>
        <v>53.599999999999994</v>
      </c>
      <c r="O42" s="81"/>
      <c r="P42" s="417"/>
      <c r="Q42" s="13"/>
    </row>
    <row r="43" spans="1:17" ht="16.2" customHeight="1" thickTop="1" x14ac:dyDescent="0.25">
      <c r="A43" s="407" t="s">
        <v>389</v>
      </c>
      <c r="B43" s="407" t="s">
        <v>380</v>
      </c>
      <c r="C43" s="85" t="s">
        <v>620</v>
      </c>
      <c r="D43" s="14" t="s">
        <v>563</v>
      </c>
      <c r="E43" s="14">
        <f>12*2</f>
        <v>24</v>
      </c>
      <c r="F43" s="61">
        <f>N43/60</f>
        <v>1.69</v>
      </c>
      <c r="G43" s="128">
        <f>179*0.2389*2</f>
        <v>85.526200000000003</v>
      </c>
      <c r="H43" s="115">
        <f>2.6*2</f>
        <v>5.2</v>
      </c>
      <c r="I43" s="128"/>
      <c r="J43" s="115"/>
      <c r="K43" s="430" t="s">
        <v>562</v>
      </c>
      <c r="L43" s="431"/>
      <c r="M43" s="61" t="s">
        <v>521</v>
      </c>
      <c r="N43" s="61">
        <f>33.8*3</f>
        <v>101.39999999999999</v>
      </c>
      <c r="O43" s="61" t="s">
        <v>300</v>
      </c>
      <c r="P43" s="408" t="s">
        <v>576</v>
      </c>
      <c r="Q43" s="13" t="s">
        <v>564</v>
      </c>
    </row>
    <row r="44" spans="1:17" ht="16.2" customHeight="1" x14ac:dyDescent="0.25">
      <c r="A44" s="401"/>
      <c r="B44" s="401"/>
      <c r="C44" s="102" t="s">
        <v>458</v>
      </c>
      <c r="D44" s="52" t="s">
        <v>378</v>
      </c>
      <c r="E44" s="52">
        <v>180</v>
      </c>
      <c r="F44" s="76">
        <f>N44/48</f>
        <v>0.99000000000000021</v>
      </c>
      <c r="G44" s="122">
        <f>I44*0.2389/100*E44</f>
        <v>639.86976000000004</v>
      </c>
      <c r="H44" s="109">
        <f>J44/100*E44</f>
        <v>22.32</v>
      </c>
      <c r="I44" s="122">
        <v>1488</v>
      </c>
      <c r="J44" s="109">
        <v>12.4</v>
      </c>
      <c r="K44" s="392" t="s">
        <v>572</v>
      </c>
      <c r="L44" s="393"/>
      <c r="M44" s="68" t="s">
        <v>573</v>
      </c>
      <c r="N44" s="68">
        <f>9.9*6*0.8</f>
        <v>47.52000000000001</v>
      </c>
      <c r="O44" s="68" t="s">
        <v>574</v>
      </c>
      <c r="P44" s="409"/>
      <c r="Q44" s="13" t="s">
        <v>575</v>
      </c>
    </row>
    <row r="45" spans="1:17" ht="16.2" customHeight="1" x14ac:dyDescent="0.25">
      <c r="A45" s="401"/>
      <c r="B45" s="401"/>
      <c r="C45" s="102" t="s">
        <v>619</v>
      </c>
      <c r="D45" s="52" t="s">
        <v>379</v>
      </c>
      <c r="E45" s="52">
        <v>55</v>
      </c>
      <c r="F45" s="76">
        <f>N45/2500*55</f>
        <v>0.24156</v>
      </c>
      <c r="G45" s="122">
        <f t="shared" ref="G45:G46" si="17">I45*0.2389/100*E45</f>
        <v>99.99159499999999</v>
      </c>
      <c r="H45" s="109">
        <f t="shared" ref="H45:H46" si="18">J45/100*E45</f>
        <v>8.8000000000000007</v>
      </c>
      <c r="I45" s="122">
        <v>761</v>
      </c>
      <c r="J45" s="109">
        <v>16</v>
      </c>
      <c r="K45" s="392" t="s">
        <v>579</v>
      </c>
      <c r="L45" s="393"/>
      <c r="M45" s="68" t="s">
        <v>169</v>
      </c>
      <c r="N45" s="68">
        <v>10.98</v>
      </c>
      <c r="O45" s="68" t="s">
        <v>578</v>
      </c>
      <c r="P45" s="409"/>
      <c r="Q45" s="13"/>
    </row>
    <row r="46" spans="1:17" ht="16.2" customHeight="1" x14ac:dyDescent="0.25">
      <c r="A46" s="401"/>
      <c r="B46" s="401"/>
      <c r="C46" s="102" t="s">
        <v>619</v>
      </c>
      <c r="D46" s="52" t="s">
        <v>396</v>
      </c>
      <c r="E46" s="52">
        <v>15.6</v>
      </c>
      <c r="F46" s="76">
        <f>N46/16</f>
        <v>3.1187499999999999</v>
      </c>
      <c r="G46" s="122">
        <f t="shared" si="17"/>
        <v>43.454954400000005</v>
      </c>
      <c r="H46" s="109">
        <f t="shared" si="18"/>
        <v>9.1727999999999987</v>
      </c>
      <c r="I46" s="122">
        <v>1166</v>
      </c>
      <c r="J46" s="109">
        <v>58.8</v>
      </c>
      <c r="K46" s="392" t="s">
        <v>583</v>
      </c>
      <c r="L46" s="393"/>
      <c r="M46" s="68" t="s">
        <v>584</v>
      </c>
      <c r="N46" s="68">
        <v>49.9</v>
      </c>
      <c r="O46" s="68" t="s">
        <v>647</v>
      </c>
      <c r="P46" s="409"/>
      <c r="Q46" s="13" t="s">
        <v>585</v>
      </c>
    </row>
    <row r="47" spans="1:17" ht="16.2" customHeight="1" x14ac:dyDescent="0.25">
      <c r="A47" s="401"/>
      <c r="B47" s="401"/>
      <c r="C47" s="102" t="s">
        <v>619</v>
      </c>
      <c r="D47" s="52" t="s">
        <v>533</v>
      </c>
      <c r="E47" s="52">
        <v>17.5</v>
      </c>
      <c r="F47" s="76">
        <f>N47/10/4</f>
        <v>0.49749999999999994</v>
      </c>
      <c r="G47" s="122">
        <f>G34/15*E47</f>
        <v>3.8850000000000002</v>
      </c>
      <c r="H47" s="109">
        <f>H34/15*E47</f>
        <v>0.22750000000000001</v>
      </c>
      <c r="I47" s="122"/>
      <c r="J47" s="109"/>
      <c r="K47" s="392" t="s">
        <v>649</v>
      </c>
      <c r="L47" s="393"/>
      <c r="M47" s="68" t="s">
        <v>650</v>
      </c>
      <c r="N47" s="68">
        <v>19.899999999999999</v>
      </c>
      <c r="O47" s="68" t="s">
        <v>532</v>
      </c>
      <c r="P47" s="409"/>
      <c r="Q47" s="13" t="s">
        <v>651</v>
      </c>
    </row>
    <row r="48" spans="1:17" ht="16.2" customHeight="1" x14ac:dyDescent="0.25">
      <c r="A48" s="401"/>
      <c r="B48" s="401"/>
      <c r="C48" s="102" t="s">
        <v>457</v>
      </c>
      <c r="D48" s="52" t="s">
        <v>586</v>
      </c>
      <c r="E48" s="52">
        <v>46</v>
      </c>
      <c r="F48" s="76">
        <f>N48/74*2</f>
        <v>0.99459459459459454</v>
      </c>
      <c r="G48" s="122">
        <f>I48*0.2389/100*E48</f>
        <v>234.07422000000003</v>
      </c>
      <c r="H48" s="109">
        <f>J48/100*E48</f>
        <v>3.036</v>
      </c>
      <c r="I48" s="122">
        <v>2130</v>
      </c>
      <c r="J48" s="109">
        <v>6.6</v>
      </c>
      <c r="K48" s="392" t="s">
        <v>587</v>
      </c>
      <c r="L48" s="393"/>
      <c r="M48" s="68" t="s">
        <v>588</v>
      </c>
      <c r="N48" s="68">
        <v>36.799999999999997</v>
      </c>
      <c r="O48" s="68" t="s">
        <v>511</v>
      </c>
      <c r="P48" s="409"/>
      <c r="Q48" s="13" t="s">
        <v>589</v>
      </c>
    </row>
    <row r="49" spans="1:17" ht="16.2" customHeight="1" x14ac:dyDescent="0.25">
      <c r="A49" s="401"/>
      <c r="B49" s="401"/>
      <c r="C49" s="102" t="s">
        <v>460</v>
      </c>
      <c r="D49" s="52" t="s">
        <v>358</v>
      </c>
      <c r="E49" s="52">
        <v>30</v>
      </c>
      <c r="F49" s="76">
        <v>0</v>
      </c>
      <c r="G49" s="123">
        <f>G22</f>
        <v>69.089880000000008</v>
      </c>
      <c r="H49" s="110">
        <f>H22</f>
        <v>12.030000000000001</v>
      </c>
      <c r="I49" s="123"/>
      <c r="J49" s="110"/>
      <c r="K49" s="68"/>
      <c r="L49" s="68"/>
      <c r="M49" s="68"/>
      <c r="N49" s="68"/>
      <c r="O49" s="68"/>
      <c r="P49" s="409"/>
      <c r="Q49" s="13"/>
    </row>
    <row r="50" spans="1:17" ht="16.2" customHeight="1" thickBot="1" x14ac:dyDescent="0.3">
      <c r="A50" s="401"/>
      <c r="B50" s="404"/>
      <c r="C50" s="383" t="s">
        <v>356</v>
      </c>
      <c r="D50" s="384"/>
      <c r="E50" s="97">
        <f>SUM(E43:E49)</f>
        <v>368.1</v>
      </c>
      <c r="F50" s="98">
        <f>SUM(F43:F49)</f>
        <v>7.5324045945945937</v>
      </c>
      <c r="G50" s="98">
        <f t="shared" ref="G50:H50" si="19">SUM(G43:G49)</f>
        <v>1175.8916094000001</v>
      </c>
      <c r="H50" s="111">
        <f t="shared" si="19"/>
        <v>60.786300000000004</v>
      </c>
      <c r="I50" s="124"/>
      <c r="J50" s="111"/>
      <c r="K50" s="56"/>
      <c r="L50" s="56"/>
      <c r="M50" s="56"/>
      <c r="N50" s="59">
        <f>SUM(N43:N49)</f>
        <v>266.5</v>
      </c>
      <c r="O50" s="56"/>
      <c r="P50" s="410"/>
      <c r="Q50" s="13"/>
    </row>
    <row r="51" spans="1:17" ht="16.2" customHeight="1" thickBot="1" x14ac:dyDescent="0.3">
      <c r="A51" s="401"/>
      <c r="B51" s="405" t="s">
        <v>486</v>
      </c>
      <c r="C51" s="104" t="s">
        <v>458</v>
      </c>
      <c r="D51" s="16" t="s">
        <v>381</v>
      </c>
      <c r="E51" s="16">
        <v>46.8</v>
      </c>
      <c r="F51" s="60">
        <f>32/16</f>
        <v>2</v>
      </c>
      <c r="G51" s="136">
        <f>I51*0.2389/100*E51</f>
        <v>176.09318999999996</v>
      </c>
      <c r="H51" s="137">
        <f>J51/100*E51</f>
        <v>4.6331999999999995</v>
      </c>
      <c r="I51" s="125">
        <v>1575</v>
      </c>
      <c r="J51" s="112">
        <v>9.9</v>
      </c>
      <c r="K51" s="394" t="s">
        <v>591</v>
      </c>
      <c r="L51" s="395"/>
      <c r="M51" s="60"/>
      <c r="N51" s="60"/>
      <c r="O51" s="60" t="s">
        <v>645</v>
      </c>
      <c r="P51" s="427" t="s">
        <v>395</v>
      </c>
      <c r="Q51" s="13" t="s">
        <v>592</v>
      </c>
    </row>
    <row r="52" spans="1:17" ht="16.2" customHeight="1" x14ac:dyDescent="0.25">
      <c r="A52" s="401"/>
      <c r="B52" s="401"/>
      <c r="C52" s="102" t="s">
        <v>54</v>
      </c>
      <c r="D52" s="52" t="s">
        <v>382</v>
      </c>
      <c r="E52" s="52">
        <v>15</v>
      </c>
      <c r="F52" s="76">
        <f>12.8/10/2</f>
        <v>0.64</v>
      </c>
      <c r="G52" s="123">
        <f t="shared" ref="G52:G58" si="20">I52*0.2389/100*E52</f>
        <v>10.284644999999999</v>
      </c>
      <c r="H52" s="110">
        <f t="shared" ref="H52:H58" si="21">J52/100*E52</f>
        <v>0.20999999999999996</v>
      </c>
      <c r="I52" s="128">
        <v>287</v>
      </c>
      <c r="J52" s="115">
        <v>1.4</v>
      </c>
      <c r="K52" s="394" t="s">
        <v>591</v>
      </c>
      <c r="L52" s="395"/>
      <c r="M52" s="68"/>
      <c r="N52" s="68"/>
      <c r="O52" s="68" t="s">
        <v>300</v>
      </c>
      <c r="P52" s="428"/>
      <c r="Q52" s="13" t="s">
        <v>593</v>
      </c>
    </row>
    <row r="53" spans="1:17" ht="16.2" customHeight="1" x14ac:dyDescent="0.25">
      <c r="A53" s="401"/>
      <c r="B53" s="401"/>
      <c r="C53" s="102" t="s">
        <v>458</v>
      </c>
      <c r="D53" s="52" t="s">
        <v>383</v>
      </c>
      <c r="E53" s="52">
        <v>150</v>
      </c>
      <c r="F53" s="76">
        <f>N53/16</f>
        <v>3.125</v>
      </c>
      <c r="G53" s="123">
        <f>246.1/100*E53</f>
        <v>369.15</v>
      </c>
      <c r="H53" s="110">
        <f>9.5/100*E53</f>
        <v>14.25</v>
      </c>
      <c r="I53" s="122"/>
      <c r="J53" s="109"/>
      <c r="K53" s="392" t="s">
        <v>594</v>
      </c>
      <c r="L53" s="393"/>
      <c r="M53" s="68" t="s">
        <v>595</v>
      </c>
      <c r="N53" s="68">
        <f>30+20</f>
        <v>50</v>
      </c>
      <c r="O53" s="68" t="s">
        <v>596</v>
      </c>
      <c r="P53" s="428"/>
      <c r="Q53" s="13"/>
    </row>
    <row r="54" spans="1:17" ht="16.2" customHeight="1" x14ac:dyDescent="0.25">
      <c r="A54" s="401"/>
      <c r="B54" s="401"/>
      <c r="C54" s="102" t="s">
        <v>619</v>
      </c>
      <c r="D54" s="52" t="s">
        <v>597</v>
      </c>
      <c r="E54" s="52">
        <v>31.2</v>
      </c>
      <c r="F54" s="76">
        <f>N54/16</f>
        <v>0.84375</v>
      </c>
      <c r="G54" s="123">
        <f t="shared" si="20"/>
        <v>50.386876799999996</v>
      </c>
      <c r="H54" s="110">
        <f t="shared" si="21"/>
        <v>2.1215999999999999</v>
      </c>
      <c r="I54" s="122">
        <v>676</v>
      </c>
      <c r="J54" s="109">
        <v>6.8</v>
      </c>
      <c r="K54" s="392" t="s">
        <v>598</v>
      </c>
      <c r="L54" s="393"/>
      <c r="M54" s="68" t="s">
        <v>341</v>
      </c>
      <c r="N54" s="68">
        <v>13.5</v>
      </c>
      <c r="O54" s="68" t="s">
        <v>599</v>
      </c>
      <c r="P54" s="428"/>
      <c r="Q54" s="13"/>
    </row>
    <row r="55" spans="1:17" ht="16.2" customHeight="1" x14ac:dyDescent="0.25">
      <c r="A55" s="401"/>
      <c r="B55" s="401"/>
      <c r="C55" s="102" t="s">
        <v>619</v>
      </c>
      <c r="D55" s="52" t="s">
        <v>379</v>
      </c>
      <c r="E55" s="52">
        <v>46</v>
      </c>
      <c r="F55" s="76">
        <f>N45/2500*E55</f>
        <v>0.20203199999999999</v>
      </c>
      <c r="G55" s="123">
        <f t="shared" si="20"/>
        <v>83.629334</v>
      </c>
      <c r="H55" s="110">
        <f t="shared" si="21"/>
        <v>7.36</v>
      </c>
      <c r="I55" s="122">
        <v>761</v>
      </c>
      <c r="J55" s="109">
        <v>16</v>
      </c>
      <c r="K55" s="392" t="s">
        <v>580</v>
      </c>
      <c r="L55" s="393"/>
      <c r="M55" s="68"/>
      <c r="N55" s="68"/>
      <c r="O55" s="68"/>
      <c r="P55" s="428"/>
      <c r="Q55" s="13"/>
    </row>
    <row r="56" spans="1:17" ht="16.2" customHeight="1" x14ac:dyDescent="0.25">
      <c r="A56" s="401"/>
      <c r="B56" s="401"/>
      <c r="C56" s="102" t="s">
        <v>619</v>
      </c>
      <c r="D56" s="52" t="s">
        <v>396</v>
      </c>
      <c r="E56" s="52">
        <v>15</v>
      </c>
      <c r="F56" s="76">
        <v>3.12</v>
      </c>
      <c r="G56" s="123">
        <f t="shared" si="20"/>
        <v>41.78361000000001</v>
      </c>
      <c r="H56" s="110">
        <f t="shared" si="21"/>
        <v>8.82</v>
      </c>
      <c r="I56" s="122">
        <v>1166</v>
      </c>
      <c r="J56" s="109">
        <v>58.8</v>
      </c>
      <c r="K56" s="392" t="s">
        <v>582</v>
      </c>
      <c r="L56" s="393"/>
      <c r="M56" s="68"/>
      <c r="N56" s="68"/>
      <c r="O56" s="68"/>
      <c r="P56" s="428"/>
      <c r="Q56" s="13"/>
    </row>
    <row r="57" spans="1:17" ht="16.2" customHeight="1" x14ac:dyDescent="0.25">
      <c r="A57" s="401"/>
      <c r="B57" s="401"/>
      <c r="C57" s="102" t="s">
        <v>54</v>
      </c>
      <c r="D57" s="52" t="s">
        <v>568</v>
      </c>
      <c r="E57" s="52">
        <v>20</v>
      </c>
      <c r="F57" s="76">
        <f>N57/4/4</f>
        <v>1.055625</v>
      </c>
      <c r="G57" s="123">
        <f t="shared" si="20"/>
        <v>51.411280000000005</v>
      </c>
      <c r="H57" s="110">
        <f t="shared" si="21"/>
        <v>1.52</v>
      </c>
      <c r="I57" s="122">
        <v>1076</v>
      </c>
      <c r="J57" s="109">
        <v>7.6</v>
      </c>
      <c r="K57" s="392" t="s">
        <v>569</v>
      </c>
      <c r="L57" s="393"/>
      <c r="M57" s="68" t="s">
        <v>570</v>
      </c>
      <c r="N57" s="68">
        <f>2.13*7+1.98</f>
        <v>16.89</v>
      </c>
      <c r="O57" s="68" t="s">
        <v>300</v>
      </c>
      <c r="P57" s="428"/>
      <c r="Q57" s="13" t="s">
        <v>571</v>
      </c>
    </row>
    <row r="58" spans="1:17" ht="16.2" customHeight="1" x14ac:dyDescent="0.25">
      <c r="A58" s="401"/>
      <c r="B58" s="401"/>
      <c r="C58" s="102" t="s">
        <v>457</v>
      </c>
      <c r="D58" s="53" t="s">
        <v>94</v>
      </c>
      <c r="E58" s="53">
        <v>18</v>
      </c>
      <c r="F58" s="76">
        <f>F5</f>
        <v>0.39636363636363636</v>
      </c>
      <c r="G58" s="123">
        <f t="shared" si="20"/>
        <v>88.025093999999996</v>
      </c>
      <c r="H58" s="110">
        <f t="shared" si="21"/>
        <v>1.2779999999999998</v>
      </c>
      <c r="I58" s="122">
        <v>2047</v>
      </c>
      <c r="J58" s="109">
        <v>7.1</v>
      </c>
      <c r="K58" s="392" t="s">
        <v>502</v>
      </c>
      <c r="L58" s="393"/>
      <c r="M58" s="68"/>
      <c r="N58" s="68"/>
      <c r="O58" s="68"/>
      <c r="P58" s="428"/>
      <c r="Q58" s="13"/>
    </row>
    <row r="59" spans="1:17" ht="16.2" customHeight="1" x14ac:dyDescent="0.25">
      <c r="A59" s="401"/>
      <c r="B59" s="401"/>
      <c r="C59" s="102" t="s">
        <v>460</v>
      </c>
      <c r="D59" s="52" t="s">
        <v>358</v>
      </c>
      <c r="E59" s="52">
        <v>30</v>
      </c>
      <c r="F59" s="76">
        <v>0</v>
      </c>
      <c r="G59" s="123">
        <f>G22</f>
        <v>69.089880000000008</v>
      </c>
      <c r="H59" s="110">
        <f>H22</f>
        <v>12.030000000000001</v>
      </c>
      <c r="I59" s="123"/>
      <c r="J59" s="110"/>
      <c r="K59" s="68"/>
      <c r="L59" s="68"/>
      <c r="M59" s="68"/>
      <c r="N59" s="68"/>
      <c r="O59" s="68"/>
      <c r="P59" s="428"/>
      <c r="Q59" s="13"/>
    </row>
    <row r="60" spans="1:17" ht="16.2" customHeight="1" thickBot="1" x14ac:dyDescent="0.3">
      <c r="A60" s="401"/>
      <c r="B60" s="404"/>
      <c r="C60" s="383" t="s">
        <v>356</v>
      </c>
      <c r="D60" s="384"/>
      <c r="E60" s="97">
        <f>SUM(E51:E59)</f>
        <v>372</v>
      </c>
      <c r="F60" s="98">
        <f>SUM(F51:F59)</f>
        <v>11.382770636363636</v>
      </c>
      <c r="G60" s="98">
        <f t="shared" ref="G60:H60" si="22">SUM(G51:G59)</f>
        <v>939.8539098</v>
      </c>
      <c r="H60" s="111">
        <f t="shared" si="22"/>
        <v>52.222800000000007</v>
      </c>
      <c r="I60" s="124"/>
      <c r="J60" s="111"/>
      <c r="K60" s="56"/>
      <c r="L60" s="56"/>
      <c r="M60" s="56"/>
      <c r="N60" s="59">
        <f>SUM(N51:N59)</f>
        <v>80.39</v>
      </c>
      <c r="O60" s="56"/>
      <c r="P60" s="429"/>
      <c r="Q60" s="13"/>
    </row>
    <row r="61" spans="1:17" ht="16.2" customHeight="1" x14ac:dyDescent="0.25">
      <c r="A61" s="401"/>
      <c r="B61" s="407" t="s">
        <v>485</v>
      </c>
      <c r="C61" s="85" t="s">
        <v>458</v>
      </c>
      <c r="D61" s="14" t="s">
        <v>387</v>
      </c>
      <c r="E61" s="14">
        <v>120</v>
      </c>
      <c r="F61" s="61">
        <f>N61/15</f>
        <v>1.9933333333333332</v>
      </c>
      <c r="G61" s="128">
        <f>I61*0.2389/100*E61</f>
        <v>426.86652000000004</v>
      </c>
      <c r="H61" s="115">
        <f>J61/100*E61</f>
        <v>6.7199999999999989</v>
      </c>
      <c r="I61" s="128">
        <v>1489</v>
      </c>
      <c r="J61" s="115">
        <v>5.6</v>
      </c>
      <c r="K61" s="394" t="s">
        <v>601</v>
      </c>
      <c r="L61" s="395"/>
      <c r="M61" s="61" t="s">
        <v>602</v>
      </c>
      <c r="N61" s="61">
        <v>29.9</v>
      </c>
      <c r="O61" s="61" t="s">
        <v>600</v>
      </c>
      <c r="P61" s="408" t="s">
        <v>391</v>
      </c>
      <c r="Q61" s="13" t="s">
        <v>603</v>
      </c>
    </row>
    <row r="62" spans="1:17" ht="16.2" customHeight="1" x14ac:dyDescent="0.25">
      <c r="A62" s="401"/>
      <c r="B62" s="401"/>
      <c r="C62" s="102" t="s">
        <v>619</v>
      </c>
      <c r="D62" s="52" t="s">
        <v>390</v>
      </c>
      <c r="E62" s="52">
        <v>31.2</v>
      </c>
      <c r="F62" s="76">
        <f>N62/16</f>
        <v>1.4875</v>
      </c>
      <c r="G62" s="128">
        <f t="shared" ref="G62:G67" si="23">I62*0.2389/100*E62</f>
        <v>183.21145439999998</v>
      </c>
      <c r="H62" s="115">
        <f t="shared" ref="H62:H67" si="24">J62/100*E62</f>
        <v>4.992</v>
      </c>
      <c r="I62" s="122">
        <v>2458</v>
      </c>
      <c r="J62" s="109">
        <v>16</v>
      </c>
      <c r="K62" s="392" t="s">
        <v>604</v>
      </c>
      <c r="L62" s="393"/>
      <c r="M62" s="68" t="s">
        <v>341</v>
      </c>
      <c r="N62" s="68">
        <v>23.8</v>
      </c>
      <c r="O62" s="68" t="s">
        <v>605</v>
      </c>
      <c r="P62" s="409"/>
      <c r="Q62" s="13" t="s">
        <v>606</v>
      </c>
    </row>
    <row r="63" spans="1:17" ht="16.2" customHeight="1" x14ac:dyDescent="0.25">
      <c r="A63" s="401"/>
      <c r="B63" s="401"/>
      <c r="C63" s="102" t="s">
        <v>54</v>
      </c>
      <c r="D63" s="52" t="s">
        <v>607</v>
      </c>
      <c r="E63" s="52">
        <v>16</v>
      </c>
      <c r="F63" s="76">
        <v>0.65</v>
      </c>
      <c r="G63" s="128">
        <f t="shared" si="23"/>
        <v>66.624431999999999</v>
      </c>
      <c r="H63" s="115">
        <f t="shared" si="24"/>
        <v>0.96</v>
      </c>
      <c r="I63" s="122">
        <v>1743</v>
      </c>
      <c r="J63" s="109">
        <v>6</v>
      </c>
      <c r="K63" s="392" t="s">
        <v>608</v>
      </c>
      <c r="L63" s="393"/>
      <c r="M63" s="68" t="s">
        <v>609</v>
      </c>
      <c r="N63" s="68">
        <v>3</v>
      </c>
      <c r="O63" s="68" t="s">
        <v>300</v>
      </c>
      <c r="P63" s="409"/>
      <c r="Q63" s="13" t="s">
        <v>610</v>
      </c>
    </row>
    <row r="64" spans="1:17" ht="16.2" customHeight="1" x14ac:dyDescent="0.25">
      <c r="A64" s="401"/>
      <c r="B64" s="401"/>
      <c r="C64" s="102" t="s">
        <v>619</v>
      </c>
      <c r="D64" s="52" t="s">
        <v>646</v>
      </c>
      <c r="E64" s="52">
        <v>17.5</v>
      </c>
      <c r="F64" s="76">
        <f>N64/2/16</f>
        <v>0.45</v>
      </c>
      <c r="G64" s="128">
        <f t="shared" si="23"/>
        <v>14.2563575</v>
      </c>
      <c r="H64" s="115">
        <f t="shared" si="24"/>
        <v>0.17500000000000002</v>
      </c>
      <c r="I64" s="122">
        <v>341</v>
      </c>
      <c r="J64" s="109">
        <v>1</v>
      </c>
      <c r="K64" s="392" t="s">
        <v>565</v>
      </c>
      <c r="L64" s="393"/>
      <c r="M64" s="68" t="s">
        <v>566</v>
      </c>
      <c r="N64" s="68">
        <f>1.8*8</f>
        <v>14.4</v>
      </c>
      <c r="O64" s="68" t="s">
        <v>300</v>
      </c>
      <c r="P64" s="409"/>
      <c r="Q64" s="13" t="s">
        <v>567</v>
      </c>
    </row>
    <row r="65" spans="1:17" ht="16.2" customHeight="1" x14ac:dyDescent="0.25">
      <c r="A65" s="401"/>
      <c r="B65" s="401"/>
      <c r="C65" s="102" t="s">
        <v>619</v>
      </c>
      <c r="D65" s="52" t="s">
        <v>652</v>
      </c>
      <c r="E65" s="52">
        <v>60</v>
      </c>
      <c r="F65" s="76">
        <f>F21</f>
        <v>1.7197</v>
      </c>
      <c r="G65" s="128">
        <f>G21</f>
        <v>131.94447</v>
      </c>
      <c r="H65" s="115">
        <f>H21</f>
        <v>13.5</v>
      </c>
      <c r="I65" s="122"/>
      <c r="J65" s="109"/>
      <c r="K65" s="392" t="s">
        <v>654</v>
      </c>
      <c r="L65" s="393"/>
      <c r="M65" s="68"/>
      <c r="N65" s="68"/>
      <c r="O65" s="68"/>
      <c r="P65" s="409"/>
      <c r="Q65" s="13"/>
    </row>
    <row r="66" spans="1:17" ht="16.2" customHeight="1" x14ac:dyDescent="0.25">
      <c r="A66" s="401"/>
      <c r="B66" s="401"/>
      <c r="C66" s="102" t="s">
        <v>460</v>
      </c>
      <c r="D66" s="52" t="s">
        <v>611</v>
      </c>
      <c r="E66" s="52">
        <v>40</v>
      </c>
      <c r="F66" s="76">
        <f>N66/35</f>
        <v>1.5628571428571429</v>
      </c>
      <c r="G66" s="128">
        <f t="shared" si="23"/>
        <v>66.605320000000006</v>
      </c>
      <c r="H66" s="115">
        <f t="shared" si="24"/>
        <v>7.52</v>
      </c>
      <c r="I66" s="122">
        <v>697</v>
      </c>
      <c r="J66" s="109">
        <v>18.8</v>
      </c>
      <c r="K66" s="392" t="s">
        <v>612</v>
      </c>
      <c r="L66" s="393"/>
      <c r="M66" s="68" t="s">
        <v>613</v>
      </c>
      <c r="N66" s="68">
        <f>44.9+9.8</f>
        <v>54.7</v>
      </c>
      <c r="O66" s="68" t="s">
        <v>615</v>
      </c>
      <c r="P66" s="409"/>
      <c r="Q66" s="13" t="s">
        <v>614</v>
      </c>
    </row>
    <row r="67" spans="1:17" ht="16.2" customHeight="1" x14ac:dyDescent="0.25">
      <c r="A67" s="401"/>
      <c r="B67" s="401"/>
      <c r="C67" s="102" t="s">
        <v>457</v>
      </c>
      <c r="D67" s="52" t="s">
        <v>487</v>
      </c>
      <c r="E67" s="52">
        <v>23.5</v>
      </c>
      <c r="F67" s="76">
        <f>N67/34</f>
        <v>0.49411764705882355</v>
      </c>
      <c r="G67" s="128">
        <f t="shared" si="23"/>
        <v>86.121060999999997</v>
      </c>
      <c r="H67" s="115">
        <f t="shared" si="24"/>
        <v>1.5510000000000002</v>
      </c>
      <c r="I67" s="122">
        <v>1534</v>
      </c>
      <c r="J67" s="109">
        <v>6.6</v>
      </c>
      <c r="K67" s="392" t="s">
        <v>488</v>
      </c>
      <c r="L67" s="393"/>
      <c r="M67" s="68" t="s">
        <v>472</v>
      </c>
      <c r="N67" s="68">
        <v>16.8</v>
      </c>
      <c r="O67" s="68" t="s">
        <v>465</v>
      </c>
      <c r="P67" s="409"/>
      <c r="Q67" s="13" t="s">
        <v>489</v>
      </c>
    </row>
    <row r="68" spans="1:17" ht="16.2" customHeight="1" x14ac:dyDescent="0.25">
      <c r="A68" s="401"/>
      <c r="B68" s="401"/>
      <c r="C68" s="102" t="s">
        <v>460</v>
      </c>
      <c r="D68" s="52" t="s">
        <v>358</v>
      </c>
      <c r="E68" s="52">
        <v>30</v>
      </c>
      <c r="F68" s="76">
        <v>0</v>
      </c>
      <c r="G68" s="123">
        <f>G22</f>
        <v>69.089880000000008</v>
      </c>
      <c r="H68" s="110">
        <f>H22</f>
        <v>12.030000000000001</v>
      </c>
      <c r="I68" s="123"/>
      <c r="J68" s="110"/>
      <c r="K68" s="68"/>
      <c r="L68" s="68"/>
      <c r="M68" s="68"/>
      <c r="N68" s="68"/>
      <c r="O68" s="68"/>
      <c r="P68" s="409"/>
      <c r="Q68" s="13"/>
    </row>
    <row r="69" spans="1:17" ht="16.2" customHeight="1" x14ac:dyDescent="0.25">
      <c r="A69" s="401"/>
      <c r="B69" s="401"/>
      <c r="C69" s="102" t="s">
        <v>621</v>
      </c>
      <c r="D69" s="52" t="s">
        <v>384</v>
      </c>
      <c r="E69" s="52">
        <v>20</v>
      </c>
      <c r="F69" s="76">
        <v>0</v>
      </c>
      <c r="G69" s="123">
        <f>G14</f>
        <v>91.546480000000003</v>
      </c>
      <c r="H69" s="110">
        <f>H14</f>
        <v>0.89999999999999991</v>
      </c>
      <c r="I69" s="123"/>
      <c r="J69" s="110"/>
      <c r="K69" s="68"/>
      <c r="L69" s="68"/>
      <c r="M69" s="68"/>
      <c r="N69" s="68"/>
      <c r="O69" s="68"/>
      <c r="P69" s="409"/>
      <c r="Q69" s="13"/>
    </row>
    <row r="70" spans="1:17" ht="16.2" customHeight="1" x14ac:dyDescent="0.25">
      <c r="A70" s="401"/>
      <c r="B70" s="401"/>
      <c r="C70" s="102" t="s">
        <v>619</v>
      </c>
      <c r="D70" s="52" t="s">
        <v>388</v>
      </c>
      <c r="E70" s="52">
        <v>20</v>
      </c>
      <c r="F70" s="76">
        <v>0.46</v>
      </c>
      <c r="G70" s="128">
        <f t="shared" ref="G70" si="25">I70*0.2389/100*E70</f>
        <v>51.076819999999998</v>
      </c>
      <c r="H70" s="115">
        <f t="shared" ref="H70" si="26">J70/100*E70</f>
        <v>1.26</v>
      </c>
      <c r="I70" s="122">
        <v>1069</v>
      </c>
      <c r="J70" s="109">
        <v>6.3</v>
      </c>
      <c r="K70" s="392" t="s">
        <v>591</v>
      </c>
      <c r="L70" s="393"/>
      <c r="M70" s="68"/>
      <c r="N70" s="68"/>
      <c r="O70" s="68"/>
      <c r="P70" s="409"/>
      <c r="Q70" s="13"/>
    </row>
    <row r="71" spans="1:17" ht="16.2" customHeight="1" x14ac:dyDescent="0.25">
      <c r="A71" s="401"/>
      <c r="B71" s="401"/>
      <c r="C71" s="385" t="s">
        <v>356</v>
      </c>
      <c r="D71" s="386"/>
      <c r="E71" s="69">
        <f>SUM(E61:E70)</f>
        <v>378.2</v>
      </c>
      <c r="F71" s="101">
        <f>SUM(F61:F70)</f>
        <v>8.8175081232493007</v>
      </c>
      <c r="G71" s="101">
        <f t="shared" ref="G71:H71" si="27">SUM(G61:G70)</f>
        <v>1187.3427948999999</v>
      </c>
      <c r="H71" s="119">
        <f t="shared" si="27"/>
        <v>49.608000000000004</v>
      </c>
      <c r="I71" s="132"/>
      <c r="J71" s="119"/>
      <c r="K71" s="57"/>
      <c r="L71" s="57"/>
      <c r="M71" s="57"/>
      <c r="N71" s="62">
        <f>SUM(N61:N70)</f>
        <v>142.60000000000002</v>
      </c>
      <c r="O71" s="57"/>
      <c r="P71" s="409"/>
      <c r="Q71" s="13"/>
    </row>
  </sheetData>
  <mergeCells count="86">
    <mergeCell ref="P51:P60"/>
    <mergeCell ref="B51:B60"/>
    <mergeCell ref="B61:B71"/>
    <mergeCell ref="A43:A71"/>
    <mergeCell ref="P61:P71"/>
    <mergeCell ref="K67:L67"/>
    <mergeCell ref="K58:L58"/>
    <mergeCell ref="K43:L43"/>
    <mergeCell ref="K64:L64"/>
    <mergeCell ref="K57:L57"/>
    <mergeCell ref="K44:L44"/>
    <mergeCell ref="K45:L45"/>
    <mergeCell ref="K55:L55"/>
    <mergeCell ref="K46:L46"/>
    <mergeCell ref="K56:L56"/>
    <mergeCell ref="B43:B50"/>
    <mergeCell ref="P19:P23"/>
    <mergeCell ref="P24:P29"/>
    <mergeCell ref="P30:P36"/>
    <mergeCell ref="P37:P42"/>
    <mergeCell ref="P1:Q1"/>
    <mergeCell ref="P2:P7"/>
    <mergeCell ref="P8:P13"/>
    <mergeCell ref="P14:P18"/>
    <mergeCell ref="P43:P50"/>
    <mergeCell ref="B37:B42"/>
    <mergeCell ref="K19:L19"/>
    <mergeCell ref="K30:L30"/>
    <mergeCell ref="K31:L31"/>
    <mergeCell ref="K37:L37"/>
    <mergeCell ref="K24:L24"/>
    <mergeCell ref="K27:L27"/>
    <mergeCell ref="K20:L20"/>
    <mergeCell ref="K32:L32"/>
    <mergeCell ref="K47:L47"/>
    <mergeCell ref="C36:D36"/>
    <mergeCell ref="C42:D42"/>
    <mergeCell ref="C50:D50"/>
    <mergeCell ref="K48:L48"/>
    <mergeCell ref="K21:L21"/>
    <mergeCell ref="A1:B1"/>
    <mergeCell ref="A2:A18"/>
    <mergeCell ref="B19:B23"/>
    <mergeCell ref="B24:B29"/>
    <mergeCell ref="B30:B36"/>
    <mergeCell ref="A19:A42"/>
    <mergeCell ref="B2:B7"/>
    <mergeCell ref="B8:B13"/>
    <mergeCell ref="B14:B18"/>
    <mergeCell ref="C7:D7"/>
    <mergeCell ref="C2:C3"/>
    <mergeCell ref="C8:C9"/>
    <mergeCell ref="K9:L9"/>
    <mergeCell ref="K2:L2"/>
    <mergeCell ref="K3:L3"/>
    <mergeCell ref="K16:L16"/>
    <mergeCell ref="K4:L4"/>
    <mergeCell ref="K5:L5"/>
    <mergeCell ref="K8:L8"/>
    <mergeCell ref="K10:L10"/>
    <mergeCell ref="K11:L11"/>
    <mergeCell ref="K15:L15"/>
    <mergeCell ref="K40:L40"/>
    <mergeCell ref="K25:L25"/>
    <mergeCell ref="K26:L26"/>
    <mergeCell ref="K33:L33"/>
    <mergeCell ref="K34:L34"/>
    <mergeCell ref="K38:L38"/>
    <mergeCell ref="K39:L39"/>
    <mergeCell ref="K51:L51"/>
    <mergeCell ref="K52:L52"/>
    <mergeCell ref="K53:L53"/>
    <mergeCell ref="K54:L54"/>
    <mergeCell ref="K61:L61"/>
    <mergeCell ref="K62:L62"/>
    <mergeCell ref="K63:L63"/>
    <mergeCell ref="K65:L65"/>
    <mergeCell ref="K66:L66"/>
    <mergeCell ref="K70:L70"/>
    <mergeCell ref="C60:D60"/>
    <mergeCell ref="C71:D71"/>
    <mergeCell ref="C13:D13"/>
    <mergeCell ref="C14:C15"/>
    <mergeCell ref="C18:D18"/>
    <mergeCell ref="C23:D23"/>
    <mergeCell ref="C29:D29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88FBC-AD7F-447F-9E60-2E87E525D422}">
  <dimension ref="A1:Q95"/>
  <sheetViews>
    <sheetView zoomScale="107" zoomScaleNormal="107" workbookViewId="0">
      <selection activeCell="E5" sqref="E5"/>
    </sheetView>
  </sheetViews>
  <sheetFormatPr defaultRowHeight="16.2" x14ac:dyDescent="0.25"/>
  <cols>
    <col min="1" max="1" width="5.109375" style="65" customWidth="1"/>
    <col min="2" max="2" width="9.88671875" style="96" customWidth="1"/>
    <col min="3" max="3" width="7.109375" style="2" customWidth="1"/>
    <col min="4" max="4" width="20.33203125" style="2" customWidth="1"/>
    <col min="5" max="5" width="12.5546875" style="2" customWidth="1"/>
    <col min="6" max="6" width="12" style="63" customWidth="1"/>
    <col min="7" max="7" width="13.21875" style="133" customWidth="1"/>
    <col min="8" max="8" width="12.21875" style="120" customWidth="1"/>
    <col min="9" max="9" width="11.109375" style="133" customWidth="1"/>
    <col min="10" max="10" width="13.21875" style="120" customWidth="1"/>
    <col min="11" max="11" width="31.77734375" style="63" customWidth="1"/>
    <col min="12" max="12" width="27.88671875" style="63" customWidth="1"/>
    <col min="13" max="13" width="9.33203125" style="63" customWidth="1"/>
    <col min="14" max="14" width="11.109375" style="63" customWidth="1"/>
    <col min="15" max="15" width="18" style="63" customWidth="1"/>
    <col min="16" max="16" width="14.21875" style="54" customWidth="1"/>
    <col min="17" max="17" width="52.109375" style="1" customWidth="1"/>
    <col min="18" max="16384" width="8.88671875" style="1"/>
  </cols>
  <sheetData>
    <row r="1" spans="1:17" ht="55.95" customHeight="1" x14ac:dyDescent="0.25">
      <c r="A1" s="446" t="s">
        <v>978</v>
      </c>
      <c r="B1" s="447"/>
      <c r="C1" s="447"/>
      <c r="D1" s="447"/>
      <c r="E1" s="447"/>
      <c r="F1" s="447"/>
      <c r="G1" s="447"/>
      <c r="H1" s="447"/>
      <c r="I1" s="447"/>
      <c r="J1" s="447"/>
    </row>
    <row r="2" spans="1:17" ht="25.8" customHeight="1" x14ac:dyDescent="0.25">
      <c r="A2" s="398" t="s">
        <v>364</v>
      </c>
      <c r="B2" s="399"/>
      <c r="C2" s="55" t="s">
        <v>70</v>
      </c>
      <c r="D2" s="55" t="s">
        <v>69</v>
      </c>
      <c r="E2" s="55" t="s">
        <v>354</v>
      </c>
      <c r="F2" s="58" t="s">
        <v>353</v>
      </c>
      <c r="G2" s="134" t="s">
        <v>639</v>
      </c>
      <c r="H2" s="107" t="s">
        <v>641</v>
      </c>
      <c r="I2" s="121" t="s">
        <v>640</v>
      </c>
      <c r="J2" s="108" t="s">
        <v>642</v>
      </c>
      <c r="K2" s="58" t="s">
        <v>411</v>
      </c>
      <c r="L2" s="58" t="s">
        <v>410</v>
      </c>
      <c r="M2" s="58" t="s">
        <v>408</v>
      </c>
      <c r="N2" s="58" t="s">
        <v>409</v>
      </c>
      <c r="O2" s="58" t="s">
        <v>133</v>
      </c>
      <c r="P2" s="418" t="s">
        <v>70</v>
      </c>
      <c r="Q2" s="418"/>
    </row>
    <row r="3" spans="1:17" ht="16.2" customHeight="1" x14ac:dyDescent="0.25">
      <c r="A3" s="400" t="s">
        <v>365</v>
      </c>
      <c r="B3" s="400" t="s">
        <v>373</v>
      </c>
      <c r="C3" s="396" t="s">
        <v>459</v>
      </c>
      <c r="D3" s="74" t="s">
        <v>38</v>
      </c>
      <c r="E3" s="74">
        <v>31.7</v>
      </c>
      <c r="F3" s="76">
        <f>N3/36</f>
        <v>0.98611111111111116</v>
      </c>
      <c r="G3" s="122">
        <f>I3*0.2389*E3/100</f>
        <v>137.45230949999998</v>
      </c>
      <c r="H3" s="109">
        <f>J3/100*E3</f>
        <v>5.3256000000000006</v>
      </c>
      <c r="I3" s="122">
        <v>1815</v>
      </c>
      <c r="J3" s="109">
        <v>16.8</v>
      </c>
      <c r="K3" s="392" t="s">
        <v>507</v>
      </c>
      <c r="L3" s="393"/>
      <c r="M3" s="76" t="s">
        <v>508</v>
      </c>
      <c r="N3" s="76">
        <f>21.9+13.6</f>
        <v>35.5</v>
      </c>
      <c r="O3" s="76" t="s">
        <v>638</v>
      </c>
      <c r="P3" s="419" t="s">
        <v>355</v>
      </c>
      <c r="Q3" s="13" t="s">
        <v>509</v>
      </c>
    </row>
    <row r="4" spans="1:17" ht="15.6" customHeight="1" x14ac:dyDescent="0.25">
      <c r="A4" s="401"/>
      <c r="B4" s="401"/>
      <c r="C4" s="389"/>
      <c r="D4" s="74" t="s">
        <v>464</v>
      </c>
      <c r="E4" s="74">
        <v>62.5</v>
      </c>
      <c r="F4" s="76">
        <f>N4/16/3</f>
        <v>0.95416666666666661</v>
      </c>
      <c r="G4" s="122">
        <f>I4*0.2389*E4/100</f>
        <v>245.61906250000001</v>
      </c>
      <c r="H4" s="109">
        <f>J4/100*E4</f>
        <v>6.875</v>
      </c>
      <c r="I4" s="122">
        <v>1645</v>
      </c>
      <c r="J4" s="109">
        <v>11</v>
      </c>
      <c r="K4" s="392" t="s">
        <v>663</v>
      </c>
      <c r="L4" s="393"/>
      <c r="M4" s="76" t="s">
        <v>664</v>
      </c>
      <c r="N4" s="76">
        <f>29.9+15.9</f>
        <v>45.8</v>
      </c>
      <c r="O4" s="76" t="s">
        <v>465</v>
      </c>
      <c r="P4" s="419"/>
      <c r="Q4" s="13"/>
    </row>
    <row r="5" spans="1:17" ht="15.6" customHeight="1" x14ac:dyDescent="0.25">
      <c r="A5" s="401"/>
      <c r="B5" s="401"/>
      <c r="C5" s="91" t="s">
        <v>458</v>
      </c>
      <c r="D5" s="74" t="s">
        <v>43</v>
      </c>
      <c r="E5" s="74">
        <v>50</v>
      </c>
      <c r="F5" s="76">
        <f>N5/16/2</f>
        <v>1.05</v>
      </c>
      <c r="G5" s="122">
        <f>I5*0.2389*E5/100</f>
        <v>256.69805000000002</v>
      </c>
      <c r="H5" s="109">
        <f>J5/100*E5</f>
        <v>5.05</v>
      </c>
      <c r="I5" s="122">
        <v>2149</v>
      </c>
      <c r="J5" s="109">
        <v>10.1</v>
      </c>
      <c r="K5" s="392" t="s">
        <v>495</v>
      </c>
      <c r="L5" s="393"/>
      <c r="M5" s="76" t="s">
        <v>463</v>
      </c>
      <c r="N5" s="76">
        <f>16.8*2</f>
        <v>33.6</v>
      </c>
      <c r="O5" s="76" t="s">
        <v>465</v>
      </c>
      <c r="P5" s="419"/>
      <c r="Q5" s="13" t="s">
        <v>503</v>
      </c>
    </row>
    <row r="6" spans="1:17" ht="15.6" customHeight="1" x14ac:dyDescent="0.25">
      <c r="A6" s="401"/>
      <c r="B6" s="401"/>
      <c r="C6" s="91" t="s">
        <v>456</v>
      </c>
      <c r="D6" s="74" t="s">
        <v>94</v>
      </c>
      <c r="E6" s="74">
        <v>18.2</v>
      </c>
      <c r="F6" s="76">
        <f>N6/55</f>
        <v>0.39636363636363636</v>
      </c>
      <c r="G6" s="122">
        <f t="shared" ref="G6:G7" si="0">I6*0.2389*E6/100</f>
        <v>89.003150599999984</v>
      </c>
      <c r="H6" s="109">
        <f t="shared" ref="H6:H7" si="1">J6/100*E6</f>
        <v>1.2921999999999998</v>
      </c>
      <c r="I6" s="123">
        <v>2047</v>
      </c>
      <c r="J6" s="110">
        <v>7.1</v>
      </c>
      <c r="K6" s="392" t="s">
        <v>500</v>
      </c>
      <c r="L6" s="393"/>
      <c r="M6" s="76" t="s">
        <v>501</v>
      </c>
      <c r="N6" s="76">
        <v>21.8</v>
      </c>
      <c r="O6" s="76" t="s">
        <v>648</v>
      </c>
      <c r="P6" s="419"/>
      <c r="Q6" s="13" t="s">
        <v>510</v>
      </c>
    </row>
    <row r="7" spans="1:17" ht="15.6" customHeight="1" x14ac:dyDescent="0.25">
      <c r="A7" s="401"/>
      <c r="B7" s="401"/>
      <c r="C7" s="91" t="s">
        <v>460</v>
      </c>
      <c r="D7" s="74" t="s">
        <v>47</v>
      </c>
      <c r="E7" s="74">
        <v>15</v>
      </c>
      <c r="F7" s="76">
        <v>0</v>
      </c>
      <c r="G7" s="122">
        <f t="shared" si="0"/>
        <v>34.544940000000004</v>
      </c>
      <c r="H7" s="109">
        <f t="shared" si="1"/>
        <v>6.0150000000000006</v>
      </c>
      <c r="I7" s="123">
        <v>964</v>
      </c>
      <c r="J7" s="110">
        <v>40.1</v>
      </c>
      <c r="K7" s="76"/>
      <c r="L7" s="76"/>
      <c r="M7" s="76"/>
      <c r="N7" s="76"/>
      <c r="O7" s="76" t="s">
        <v>643</v>
      </c>
      <c r="P7" s="419"/>
      <c r="Q7" s="13"/>
    </row>
    <row r="8" spans="1:17" ht="16.2" customHeight="1" thickBot="1" x14ac:dyDescent="0.3">
      <c r="A8" s="401"/>
      <c r="B8" s="404"/>
      <c r="C8" s="387" t="s">
        <v>356</v>
      </c>
      <c r="D8" s="384"/>
      <c r="E8" s="97">
        <f>SUM(E3:E7)</f>
        <v>177.39999999999998</v>
      </c>
      <c r="F8" s="98">
        <f>SUM(F3:F7)</f>
        <v>3.3866414141414145</v>
      </c>
      <c r="G8" s="124">
        <f t="shared" ref="G8:H8" si="2">SUM(G3:G7)</f>
        <v>763.3175126000001</v>
      </c>
      <c r="H8" s="111">
        <f t="shared" si="2"/>
        <v>24.557800000000004</v>
      </c>
      <c r="I8" s="124"/>
      <c r="J8" s="111"/>
      <c r="K8" s="59"/>
      <c r="L8" s="59"/>
      <c r="M8" s="59"/>
      <c r="N8" s="59">
        <f>SUM(N3:N7)</f>
        <v>136.70000000000002</v>
      </c>
      <c r="O8" s="59"/>
      <c r="P8" s="420"/>
      <c r="Q8" s="151"/>
    </row>
    <row r="9" spans="1:17" ht="15.6" x14ac:dyDescent="0.25">
      <c r="A9" s="401"/>
      <c r="B9" s="405" t="s">
        <v>374</v>
      </c>
      <c r="C9" s="397" t="s">
        <v>459</v>
      </c>
      <c r="D9" s="16" t="s">
        <v>146</v>
      </c>
      <c r="E9" s="16">
        <v>30</v>
      </c>
      <c r="F9" s="60">
        <f>N9/50</f>
        <v>1.032</v>
      </c>
      <c r="G9" s="125">
        <f>I9*0.2389/100*E9</f>
        <v>121.839</v>
      </c>
      <c r="H9" s="112">
        <f>J9/100*E9</f>
        <v>5.3999999999999995</v>
      </c>
      <c r="I9" s="125">
        <v>1700</v>
      </c>
      <c r="J9" s="112">
        <v>18</v>
      </c>
      <c r="K9" s="394" t="s">
        <v>705</v>
      </c>
      <c r="L9" s="395"/>
      <c r="M9" s="60" t="s">
        <v>343</v>
      </c>
      <c r="N9" s="60">
        <f>21.8+29.8</f>
        <v>51.6</v>
      </c>
      <c r="O9" s="60" t="s">
        <v>505</v>
      </c>
      <c r="P9" s="421" t="s">
        <v>362</v>
      </c>
      <c r="Q9" s="152" t="s">
        <v>704</v>
      </c>
    </row>
    <row r="10" spans="1:17" ht="15.6" x14ac:dyDescent="0.25">
      <c r="A10" s="401"/>
      <c r="B10" s="407"/>
      <c r="C10" s="432"/>
      <c r="D10" s="14" t="s">
        <v>662</v>
      </c>
      <c r="E10" s="14">
        <v>62.5</v>
      </c>
      <c r="F10" s="61">
        <f>F4</f>
        <v>0.95416666666666661</v>
      </c>
      <c r="G10" s="126">
        <f t="shared" ref="G10:H10" si="3">G4</f>
        <v>245.61906250000001</v>
      </c>
      <c r="H10" s="113">
        <f t="shared" si="3"/>
        <v>6.875</v>
      </c>
      <c r="I10" s="128"/>
      <c r="J10" s="115"/>
      <c r="K10" s="392" t="s">
        <v>665</v>
      </c>
      <c r="L10" s="393"/>
      <c r="M10" s="61"/>
      <c r="N10" s="61"/>
      <c r="O10" s="61"/>
      <c r="P10" s="433"/>
      <c r="Q10" s="13"/>
    </row>
    <row r="11" spans="1:17" ht="15.6" x14ac:dyDescent="0.25">
      <c r="A11" s="401"/>
      <c r="B11" s="401"/>
      <c r="C11" s="389"/>
      <c r="D11" s="74" t="s">
        <v>357</v>
      </c>
      <c r="E11" s="74">
        <v>40</v>
      </c>
      <c r="F11" s="76">
        <f>N11/16</f>
        <v>0.92812499999999998</v>
      </c>
      <c r="G11" s="122">
        <f>I11*0.2389*E11/100</f>
        <v>145.53788</v>
      </c>
      <c r="H11" s="109">
        <f>J11/100*E11</f>
        <v>2.8760000000000003</v>
      </c>
      <c r="I11" s="122">
        <v>1523</v>
      </c>
      <c r="J11" s="109">
        <v>7.19</v>
      </c>
      <c r="K11" s="392" t="s">
        <v>666</v>
      </c>
      <c r="L11" s="393"/>
      <c r="M11" s="76" t="s">
        <v>667</v>
      </c>
      <c r="N11" s="76">
        <v>14.85</v>
      </c>
      <c r="O11" s="76" t="s">
        <v>319</v>
      </c>
      <c r="P11" s="422"/>
      <c r="Q11" s="13"/>
    </row>
    <row r="12" spans="1:17" ht="15.6" x14ac:dyDescent="0.25">
      <c r="A12" s="401"/>
      <c r="B12" s="401"/>
      <c r="C12" s="102" t="s">
        <v>457</v>
      </c>
      <c r="D12" s="74" t="s">
        <v>206</v>
      </c>
      <c r="E12" s="74">
        <v>20</v>
      </c>
      <c r="F12" s="76">
        <f>N12/83</f>
        <v>0.4795180722891566</v>
      </c>
      <c r="G12" s="122">
        <f>I12*0.2389*E12/100</f>
        <v>83.75833999999999</v>
      </c>
      <c r="H12" s="109">
        <f>J12/100*E12</f>
        <v>1.5</v>
      </c>
      <c r="I12" s="122">
        <v>1753</v>
      </c>
      <c r="J12" s="109">
        <v>7.5</v>
      </c>
      <c r="K12" s="392" t="s">
        <v>537</v>
      </c>
      <c r="L12" s="393"/>
      <c r="M12" s="76" t="s">
        <v>538</v>
      </c>
      <c r="N12" s="76">
        <f>29.9+9.9</f>
        <v>39.799999999999997</v>
      </c>
      <c r="O12" s="76" t="s">
        <v>465</v>
      </c>
      <c r="P12" s="422"/>
      <c r="Q12" s="13" t="s">
        <v>539</v>
      </c>
    </row>
    <row r="13" spans="1:17" ht="15.6" x14ac:dyDescent="0.25">
      <c r="A13" s="401"/>
      <c r="B13" s="401"/>
      <c r="C13" s="102" t="s">
        <v>616</v>
      </c>
      <c r="D13" s="74" t="s">
        <v>87</v>
      </c>
      <c r="E13" s="74">
        <v>25.4</v>
      </c>
      <c r="F13" s="76">
        <f>N13/66*4</f>
        <v>0.84242424242424241</v>
      </c>
      <c r="G13" s="122">
        <f>I13*0.2389*E13/100</f>
        <v>142.78145179999999</v>
      </c>
      <c r="H13" s="109">
        <f>J13/100*E13</f>
        <v>1.8541999999999998</v>
      </c>
      <c r="I13" s="122">
        <v>2353</v>
      </c>
      <c r="J13" s="109">
        <v>7.3</v>
      </c>
      <c r="K13" s="392" t="s">
        <v>514</v>
      </c>
      <c r="L13" s="393"/>
      <c r="M13" s="76" t="s">
        <v>513</v>
      </c>
      <c r="N13" s="76">
        <v>13.9</v>
      </c>
      <c r="O13" s="76" t="s">
        <v>512</v>
      </c>
      <c r="P13" s="422"/>
      <c r="Q13" s="13" t="s">
        <v>515</v>
      </c>
    </row>
    <row r="14" spans="1:17" ht="15.6" x14ac:dyDescent="0.25">
      <c r="A14" s="401"/>
      <c r="B14" s="401"/>
      <c r="C14" s="102" t="s">
        <v>460</v>
      </c>
      <c r="D14" s="74" t="s">
        <v>47</v>
      </c>
      <c r="E14" s="74">
        <v>15</v>
      </c>
      <c r="F14" s="76">
        <v>0</v>
      </c>
      <c r="G14" s="123">
        <f>G7</f>
        <v>34.544940000000004</v>
      </c>
      <c r="H14" s="110">
        <f>H7</f>
        <v>6.0150000000000006</v>
      </c>
      <c r="I14" s="123"/>
      <c r="J14" s="110"/>
      <c r="K14" s="76"/>
      <c r="L14" s="76"/>
      <c r="M14" s="76"/>
      <c r="N14" s="76"/>
      <c r="O14" s="76"/>
      <c r="P14" s="422"/>
      <c r="Q14" s="13"/>
    </row>
    <row r="15" spans="1:17" ht="16.8" thickBot="1" x14ac:dyDescent="0.3">
      <c r="A15" s="401"/>
      <c r="B15" s="404"/>
      <c r="C15" s="387" t="s">
        <v>356</v>
      </c>
      <c r="D15" s="384"/>
      <c r="E15" s="97">
        <f>SUM(E9:E14)</f>
        <v>192.9</v>
      </c>
      <c r="F15" s="98">
        <f>SUM(F9:F14)</f>
        <v>4.2362339813800656</v>
      </c>
      <c r="G15" s="124">
        <f t="shared" ref="G15:H15" si="4">SUM(G9:G14)</f>
        <v>774.08067429999994</v>
      </c>
      <c r="H15" s="111">
        <f t="shared" si="4"/>
        <v>24.520199999999999</v>
      </c>
      <c r="I15" s="124"/>
      <c r="J15" s="111"/>
      <c r="K15" s="59"/>
      <c r="L15" s="59"/>
      <c r="M15" s="59"/>
      <c r="N15" s="59">
        <f>SUM(N9:N14)</f>
        <v>120.15</v>
      </c>
      <c r="O15" s="59"/>
      <c r="P15" s="423"/>
      <c r="Q15" s="151"/>
    </row>
    <row r="16" spans="1:17" ht="15.6" x14ac:dyDescent="0.25">
      <c r="A16" s="401"/>
      <c r="B16" s="405" t="s">
        <v>386</v>
      </c>
      <c r="C16" s="388" t="s">
        <v>617</v>
      </c>
      <c r="D16" s="16" t="s">
        <v>37</v>
      </c>
      <c r="E16" s="16">
        <v>40</v>
      </c>
      <c r="F16" s="60">
        <v>0</v>
      </c>
      <c r="G16" s="144">
        <f>I16*0.2389/100*E16</f>
        <v>183.09296000000001</v>
      </c>
      <c r="H16" s="138">
        <f>J16/100*E16</f>
        <v>1.7999999999999998</v>
      </c>
      <c r="I16" s="144">
        <v>1916</v>
      </c>
      <c r="J16" s="138">
        <v>4.5</v>
      </c>
      <c r="K16" s="60"/>
      <c r="L16" s="60"/>
      <c r="M16" s="60"/>
      <c r="N16" s="60"/>
      <c r="O16" s="60" t="s">
        <v>643</v>
      </c>
      <c r="P16" s="435" t="s">
        <v>361</v>
      </c>
      <c r="Q16" s="152" t="s">
        <v>668</v>
      </c>
    </row>
    <row r="17" spans="1:17" ht="15.6" x14ac:dyDescent="0.25">
      <c r="A17" s="401"/>
      <c r="B17" s="401"/>
      <c r="C17" s="389"/>
      <c r="D17" s="74" t="s">
        <v>42</v>
      </c>
      <c r="E17" s="74">
        <v>93.8</v>
      </c>
      <c r="F17" s="76">
        <f>N17/16/2</f>
        <v>1.71875</v>
      </c>
      <c r="G17" s="126">
        <f t="shared" ref="G17:G18" si="5">I17*0.2389/100*E17</f>
        <v>382.51855739999996</v>
      </c>
      <c r="H17" s="113">
        <f t="shared" ref="H17:H18" si="6">J17/100*E17</f>
        <v>10.693200000000001</v>
      </c>
      <c r="I17" s="122">
        <v>1707</v>
      </c>
      <c r="J17" s="109">
        <v>11.4</v>
      </c>
      <c r="K17" s="392" t="s">
        <v>517</v>
      </c>
      <c r="L17" s="393"/>
      <c r="M17" s="76" t="s">
        <v>518</v>
      </c>
      <c r="N17" s="76">
        <v>55</v>
      </c>
      <c r="O17" s="76" t="s">
        <v>519</v>
      </c>
      <c r="P17" s="425"/>
      <c r="Q17" s="13"/>
    </row>
    <row r="18" spans="1:17" ht="15.6" x14ac:dyDescent="0.25">
      <c r="A18" s="401"/>
      <c r="B18" s="401"/>
      <c r="C18" s="102" t="s">
        <v>618</v>
      </c>
      <c r="D18" s="74" t="s">
        <v>476</v>
      </c>
      <c r="E18" s="74">
        <v>55.5</v>
      </c>
      <c r="F18" s="76">
        <f>N18/36</f>
        <v>0.94166666666666665</v>
      </c>
      <c r="G18" s="126">
        <f t="shared" si="5"/>
        <v>175.4159085</v>
      </c>
      <c r="H18" s="113">
        <f t="shared" si="6"/>
        <v>4.9950000000000001</v>
      </c>
      <c r="I18" s="122">
        <v>1323</v>
      </c>
      <c r="J18" s="109">
        <v>9</v>
      </c>
      <c r="K18" s="392" t="s">
        <v>474</v>
      </c>
      <c r="L18" s="393"/>
      <c r="M18" s="76" t="s">
        <v>425</v>
      </c>
      <c r="N18" s="76">
        <v>33.9</v>
      </c>
      <c r="O18" s="76" t="s">
        <v>465</v>
      </c>
      <c r="P18" s="425"/>
      <c r="Q18" s="13" t="s">
        <v>477</v>
      </c>
    </row>
    <row r="19" spans="1:17" ht="15.6" x14ac:dyDescent="0.25">
      <c r="A19" s="401"/>
      <c r="B19" s="401"/>
      <c r="C19" s="102" t="s">
        <v>460</v>
      </c>
      <c r="D19" s="74" t="s">
        <v>47</v>
      </c>
      <c r="E19" s="74">
        <v>15</v>
      </c>
      <c r="F19" s="76">
        <v>0</v>
      </c>
      <c r="G19" s="123">
        <f>G7</f>
        <v>34.544940000000004</v>
      </c>
      <c r="H19" s="110">
        <f>H7</f>
        <v>6.0150000000000006</v>
      </c>
      <c r="I19" s="123"/>
      <c r="J19" s="110"/>
      <c r="K19" s="76"/>
      <c r="L19" s="76"/>
      <c r="M19" s="76"/>
      <c r="N19" s="76"/>
      <c r="O19" s="76"/>
      <c r="P19" s="425"/>
      <c r="Q19" s="13"/>
    </row>
    <row r="20" spans="1:17" ht="16.8" thickBot="1" x14ac:dyDescent="0.3">
      <c r="A20" s="402"/>
      <c r="B20" s="402"/>
      <c r="C20" s="390" t="s">
        <v>356</v>
      </c>
      <c r="D20" s="391"/>
      <c r="E20" s="99">
        <f>SUM(E16:E19)</f>
        <v>204.3</v>
      </c>
      <c r="F20" s="100">
        <f>SUM(F16:F19)</f>
        <v>2.6604166666666664</v>
      </c>
      <c r="G20" s="141">
        <f t="shared" ref="G20:H20" si="7">SUM(G16:G19)</f>
        <v>775.57236589999991</v>
      </c>
      <c r="H20" s="135">
        <f t="shared" si="7"/>
        <v>23.503200000000003</v>
      </c>
      <c r="I20" s="141"/>
      <c r="J20" s="135"/>
      <c r="K20" s="156"/>
      <c r="L20" s="156"/>
      <c r="M20" s="156"/>
      <c r="N20" s="156">
        <f>SUM(N17:N19)</f>
        <v>88.9</v>
      </c>
      <c r="O20" s="156"/>
      <c r="P20" s="426"/>
      <c r="Q20" s="155"/>
    </row>
    <row r="21" spans="1:17" thickTop="1" x14ac:dyDescent="0.25">
      <c r="A21" s="436" t="s">
        <v>372</v>
      </c>
      <c r="B21" s="407" t="s">
        <v>375</v>
      </c>
      <c r="C21" s="85" t="s">
        <v>618</v>
      </c>
      <c r="D21" s="14" t="s">
        <v>366</v>
      </c>
      <c r="E21" s="14">
        <v>100</v>
      </c>
      <c r="F21" s="61">
        <f>N21/35</f>
        <v>1.4942857142857144</v>
      </c>
      <c r="G21" s="126">
        <f>I21*0.2389/100*E21</f>
        <v>397.05180000000001</v>
      </c>
      <c r="H21" s="115">
        <f>J21/100*E21</f>
        <v>8.5</v>
      </c>
      <c r="I21" s="126">
        <v>1662</v>
      </c>
      <c r="J21" s="113">
        <v>8.5</v>
      </c>
      <c r="K21" s="437" t="s">
        <v>469</v>
      </c>
      <c r="L21" s="437"/>
      <c r="M21" s="61" t="s">
        <v>468</v>
      </c>
      <c r="N21" s="61">
        <f>14.8*3+7.9</f>
        <v>52.300000000000004</v>
      </c>
      <c r="O21" s="61" t="s">
        <v>465</v>
      </c>
      <c r="P21" s="414"/>
      <c r="Q21" s="150" t="s">
        <v>473</v>
      </c>
    </row>
    <row r="22" spans="1:17" ht="15.6" x14ac:dyDescent="0.25">
      <c r="A22" s="401"/>
      <c r="B22" s="401"/>
      <c r="C22" s="102" t="s">
        <v>458</v>
      </c>
      <c r="D22" s="74" t="s">
        <v>367</v>
      </c>
      <c r="E22" s="74">
        <v>50</v>
      </c>
      <c r="F22" s="76">
        <f>N22/48</f>
        <v>0.99374999999999991</v>
      </c>
      <c r="G22" s="122">
        <f>G5</f>
        <v>256.69805000000002</v>
      </c>
      <c r="H22" s="109">
        <f>H5</f>
        <v>5.05</v>
      </c>
      <c r="I22" s="123"/>
      <c r="J22" s="110"/>
      <c r="K22" s="392" t="s">
        <v>499</v>
      </c>
      <c r="L22" s="393"/>
      <c r="M22" s="76" t="s">
        <v>496</v>
      </c>
      <c r="N22" s="76">
        <f>38.8+8.9</f>
        <v>47.699999999999996</v>
      </c>
      <c r="O22" s="76" t="s">
        <v>465</v>
      </c>
      <c r="P22" s="414"/>
      <c r="Q22" s="13"/>
    </row>
    <row r="23" spans="1:17" ht="15.6" x14ac:dyDescent="0.25">
      <c r="A23" s="401"/>
      <c r="B23" s="401"/>
      <c r="C23" s="102" t="s">
        <v>619</v>
      </c>
      <c r="D23" s="74" t="s">
        <v>525</v>
      </c>
      <c r="E23" s="74">
        <v>28</v>
      </c>
      <c r="F23" s="76">
        <f>F28</f>
        <v>0.87254901960784315</v>
      </c>
      <c r="G23" s="126">
        <f>G28</f>
        <v>61.574086000000001</v>
      </c>
      <c r="H23" s="113">
        <f>H28</f>
        <v>6.3</v>
      </c>
      <c r="I23" s="122"/>
      <c r="J23" s="109"/>
      <c r="K23" s="392" t="s">
        <v>529</v>
      </c>
      <c r="L23" s="393"/>
      <c r="M23" s="76"/>
      <c r="N23" s="76"/>
      <c r="O23" s="76"/>
      <c r="P23" s="414"/>
      <c r="Q23" s="13"/>
    </row>
    <row r="24" spans="1:17" ht="15.6" x14ac:dyDescent="0.25">
      <c r="A24" s="401"/>
      <c r="B24" s="401"/>
      <c r="C24" s="102" t="s">
        <v>460</v>
      </c>
      <c r="D24" s="74" t="s">
        <v>47</v>
      </c>
      <c r="E24" s="74">
        <v>30</v>
      </c>
      <c r="F24" s="76">
        <v>0</v>
      </c>
      <c r="G24" s="123">
        <f>G7*2</f>
        <v>69.089880000000008</v>
      </c>
      <c r="H24" s="110">
        <f>H7*2</f>
        <v>12.030000000000001</v>
      </c>
      <c r="I24" s="123"/>
      <c r="J24" s="110"/>
      <c r="K24" s="76"/>
      <c r="L24" s="76"/>
      <c r="M24" s="76"/>
      <c r="N24" s="76"/>
      <c r="O24" s="76"/>
      <c r="P24" s="414"/>
      <c r="Q24" s="13"/>
    </row>
    <row r="25" spans="1:17" ht="16.8" thickBot="1" x14ac:dyDescent="0.3">
      <c r="A25" s="401"/>
      <c r="B25" s="404"/>
      <c r="C25" s="383" t="s">
        <v>356</v>
      </c>
      <c r="D25" s="384"/>
      <c r="E25" s="97">
        <f>SUM(E21:E24)</f>
        <v>208</v>
      </c>
      <c r="F25" s="98">
        <f>SUM(F21:F24)</f>
        <v>3.3605847338935573</v>
      </c>
      <c r="G25" s="124">
        <f t="shared" ref="G25:H25" si="8">SUM(G21:G24)</f>
        <v>784.413816</v>
      </c>
      <c r="H25" s="111">
        <f t="shared" si="8"/>
        <v>31.880000000000003</v>
      </c>
      <c r="I25" s="130"/>
      <c r="J25" s="117"/>
      <c r="K25" s="78"/>
      <c r="L25" s="78"/>
      <c r="M25" s="78"/>
      <c r="N25" s="78">
        <f>SUM(N21:N24)</f>
        <v>100</v>
      </c>
      <c r="O25" s="78"/>
      <c r="P25" s="415"/>
      <c r="Q25" s="151"/>
    </row>
    <row r="26" spans="1:17" ht="15.6" x14ac:dyDescent="0.25">
      <c r="A26" s="401"/>
      <c r="B26" s="405" t="s">
        <v>376</v>
      </c>
      <c r="C26" s="104" t="s">
        <v>618</v>
      </c>
      <c r="D26" s="16" t="s">
        <v>249</v>
      </c>
      <c r="E26" s="16">
        <v>80</v>
      </c>
      <c r="F26" s="60">
        <f>N26/35</f>
        <v>1.7628571428571427</v>
      </c>
      <c r="G26" s="125">
        <f>I26*0.2389/100*E26</f>
        <v>303.49856</v>
      </c>
      <c r="H26" s="112">
        <f>J26/100*E26</f>
        <v>6.6400000000000006</v>
      </c>
      <c r="I26" s="125">
        <v>1588</v>
      </c>
      <c r="J26" s="112">
        <v>8.3000000000000007</v>
      </c>
      <c r="K26" s="394" t="s">
        <v>490</v>
      </c>
      <c r="L26" s="395"/>
      <c r="M26" s="60" t="s">
        <v>491</v>
      </c>
      <c r="N26" s="60">
        <f>33.9+17.9+9.9</f>
        <v>61.699999999999996</v>
      </c>
      <c r="O26" s="60" t="s">
        <v>465</v>
      </c>
      <c r="P26" s="416"/>
      <c r="Q26" s="152" t="s">
        <v>492</v>
      </c>
    </row>
    <row r="27" spans="1:17" ht="15.6" x14ac:dyDescent="0.25">
      <c r="A27" s="401"/>
      <c r="B27" s="401"/>
      <c r="C27" s="102" t="s">
        <v>618</v>
      </c>
      <c r="D27" s="74" t="s">
        <v>369</v>
      </c>
      <c r="E27" s="74">
        <v>30</v>
      </c>
      <c r="F27" s="76">
        <f>N27/34</f>
        <v>0.67352941176470582</v>
      </c>
      <c r="G27" s="128">
        <f t="shared" ref="G27:G29" si="9">I27*0.2389/100*E27</f>
        <v>133.16285999999999</v>
      </c>
      <c r="H27" s="115">
        <f t="shared" ref="H27:H29" si="10">J27/100*E27</f>
        <v>1.38</v>
      </c>
      <c r="I27" s="122">
        <v>1858</v>
      </c>
      <c r="J27" s="109">
        <v>4.5999999999999996</v>
      </c>
      <c r="K27" s="392" t="s">
        <v>522</v>
      </c>
      <c r="L27" s="393"/>
      <c r="M27" s="76" t="s">
        <v>501</v>
      </c>
      <c r="N27" s="76">
        <v>22.9</v>
      </c>
      <c r="O27" s="76" t="s">
        <v>511</v>
      </c>
      <c r="P27" s="414"/>
      <c r="Q27" s="13" t="s">
        <v>523</v>
      </c>
    </row>
    <row r="28" spans="1:17" ht="15.6" x14ac:dyDescent="0.25">
      <c r="A28" s="401"/>
      <c r="B28" s="401"/>
      <c r="C28" s="102" t="s">
        <v>619</v>
      </c>
      <c r="D28" s="74" t="s">
        <v>525</v>
      </c>
      <c r="E28" s="74">
        <v>28</v>
      </c>
      <c r="F28" s="76">
        <f>N28/3/17</f>
        <v>0.87254901960784315</v>
      </c>
      <c r="G28" s="128">
        <f>G42/60*28</f>
        <v>61.574086000000001</v>
      </c>
      <c r="H28" s="115">
        <f>H42/60*28</f>
        <v>6.3</v>
      </c>
      <c r="I28" s="122"/>
      <c r="J28" s="109"/>
      <c r="K28" s="392" t="s">
        <v>526</v>
      </c>
      <c r="L28" s="393"/>
      <c r="M28" s="76" t="s">
        <v>422</v>
      </c>
      <c r="N28" s="76">
        <v>44.5</v>
      </c>
      <c r="O28" s="76" t="s">
        <v>309</v>
      </c>
      <c r="P28" s="414"/>
      <c r="Q28" s="13" t="s">
        <v>528</v>
      </c>
    </row>
    <row r="29" spans="1:17" ht="15.6" x14ac:dyDescent="0.25">
      <c r="A29" s="401"/>
      <c r="B29" s="401"/>
      <c r="C29" s="102" t="s">
        <v>619</v>
      </c>
      <c r="D29" s="74" t="s">
        <v>22</v>
      </c>
      <c r="E29" s="74">
        <v>31.3</v>
      </c>
      <c r="F29" s="76">
        <f>N29/16/2</f>
        <v>0.93125000000000002</v>
      </c>
      <c r="G29" s="128">
        <f t="shared" si="9"/>
        <v>109.6959519</v>
      </c>
      <c r="H29" s="115">
        <f t="shared" si="10"/>
        <v>0.37559999999999999</v>
      </c>
      <c r="I29" s="122">
        <v>1467</v>
      </c>
      <c r="J29" s="109">
        <v>1.2</v>
      </c>
      <c r="K29" s="392" t="s">
        <v>494</v>
      </c>
      <c r="L29" s="393"/>
      <c r="M29" s="76" t="s">
        <v>421</v>
      </c>
      <c r="N29" s="76">
        <v>29.8</v>
      </c>
      <c r="O29" s="76" t="s">
        <v>436</v>
      </c>
      <c r="P29" s="414"/>
      <c r="Q29" s="13"/>
    </row>
    <row r="30" spans="1:17" ht="15.6" x14ac:dyDescent="0.25">
      <c r="A30" s="401"/>
      <c r="B30" s="401"/>
      <c r="C30" s="102" t="s">
        <v>460</v>
      </c>
      <c r="D30" s="74" t="s">
        <v>47</v>
      </c>
      <c r="E30" s="74">
        <v>30</v>
      </c>
      <c r="F30" s="76">
        <v>0</v>
      </c>
      <c r="G30" s="123">
        <f>G24</f>
        <v>69.089880000000008</v>
      </c>
      <c r="H30" s="110">
        <f>H24</f>
        <v>12.030000000000001</v>
      </c>
      <c r="I30" s="123"/>
      <c r="J30" s="110"/>
      <c r="K30" s="76"/>
      <c r="L30" s="76"/>
      <c r="M30" s="76"/>
      <c r="N30" s="76"/>
      <c r="O30" s="76"/>
      <c r="P30" s="414"/>
      <c r="Q30" s="13"/>
    </row>
    <row r="31" spans="1:17" ht="16.8" thickBot="1" x14ac:dyDescent="0.3">
      <c r="A31" s="401"/>
      <c r="B31" s="404"/>
      <c r="C31" s="383" t="s">
        <v>356</v>
      </c>
      <c r="D31" s="384"/>
      <c r="E31" s="97">
        <f>SUM(E26:E30)</f>
        <v>199.3</v>
      </c>
      <c r="F31" s="98">
        <f>SUM(F26:F30)</f>
        <v>4.2401855742296917</v>
      </c>
      <c r="G31" s="124">
        <f t="shared" ref="G31:H31" si="11">SUM(G26:G30)</f>
        <v>677.02133790000005</v>
      </c>
      <c r="H31" s="111">
        <f t="shared" si="11"/>
        <v>26.7256</v>
      </c>
      <c r="I31" s="130"/>
      <c r="J31" s="117"/>
      <c r="K31" s="80"/>
      <c r="L31" s="80"/>
      <c r="M31" s="80"/>
      <c r="N31" s="78">
        <f>SUM(N26:N30)</f>
        <v>158.9</v>
      </c>
      <c r="O31" s="80"/>
      <c r="P31" s="415"/>
      <c r="Q31" s="151"/>
    </row>
    <row r="32" spans="1:17" ht="15.6" x14ac:dyDescent="0.25">
      <c r="A32" s="401"/>
      <c r="B32" s="405" t="s">
        <v>377</v>
      </c>
      <c r="C32" s="104" t="s">
        <v>618</v>
      </c>
      <c r="D32" s="16" t="s">
        <v>470</v>
      </c>
      <c r="E32" s="16">
        <v>50</v>
      </c>
      <c r="F32" s="60">
        <f>N32/16</f>
        <v>1.1125</v>
      </c>
      <c r="G32" s="144">
        <f>I32*0.2389/100*E32</f>
        <v>160.54079999999999</v>
      </c>
      <c r="H32" s="138">
        <f>J32/100*E32</f>
        <v>4.45</v>
      </c>
      <c r="I32" s="153">
        <v>1344</v>
      </c>
      <c r="J32" s="154">
        <v>8.9</v>
      </c>
      <c r="K32" s="434" t="s">
        <v>471</v>
      </c>
      <c r="L32" s="434"/>
      <c r="M32" s="79" t="s">
        <v>472</v>
      </c>
      <c r="N32" s="79">
        <v>17.8</v>
      </c>
      <c r="O32" s="79" t="s">
        <v>465</v>
      </c>
      <c r="P32" s="416"/>
      <c r="Q32" s="152"/>
    </row>
    <row r="33" spans="1:17" ht="15.6" x14ac:dyDescent="0.25">
      <c r="A33" s="401"/>
      <c r="B33" s="401"/>
      <c r="C33" s="102" t="s">
        <v>618</v>
      </c>
      <c r="D33" s="74" t="s">
        <v>479</v>
      </c>
      <c r="E33" s="74">
        <v>41.6</v>
      </c>
      <c r="F33" s="76">
        <f>N33/24</f>
        <v>0.82500000000000007</v>
      </c>
      <c r="G33" s="123">
        <f>I33*0.2389/100*E33</f>
        <v>147.78162880000002</v>
      </c>
      <c r="H33" s="110">
        <f>J33/100*E33</f>
        <v>2.9952000000000005</v>
      </c>
      <c r="I33" s="122">
        <v>1487</v>
      </c>
      <c r="J33" s="109">
        <v>7.2</v>
      </c>
      <c r="K33" s="392" t="s">
        <v>480</v>
      </c>
      <c r="L33" s="393"/>
      <c r="M33" s="76" t="s">
        <v>421</v>
      </c>
      <c r="N33" s="76">
        <f>9.9*2</f>
        <v>19.8</v>
      </c>
      <c r="O33" s="76" t="s">
        <v>465</v>
      </c>
      <c r="P33" s="414"/>
      <c r="Q33" s="13" t="s">
        <v>482</v>
      </c>
    </row>
    <row r="34" spans="1:17" ht="15.6" x14ac:dyDescent="0.25">
      <c r="A34" s="401"/>
      <c r="B34" s="401"/>
      <c r="C34" s="102" t="s">
        <v>458</v>
      </c>
      <c r="D34" s="74" t="s">
        <v>367</v>
      </c>
      <c r="E34" s="74">
        <v>50</v>
      </c>
      <c r="F34" s="76">
        <f>F22</f>
        <v>0.99374999999999991</v>
      </c>
      <c r="G34" s="122">
        <f>G5</f>
        <v>256.69805000000002</v>
      </c>
      <c r="H34" s="109">
        <f>H5</f>
        <v>5.05</v>
      </c>
      <c r="I34" s="122"/>
      <c r="J34" s="109"/>
      <c r="K34" s="392" t="s">
        <v>497</v>
      </c>
      <c r="L34" s="393"/>
      <c r="M34" s="76"/>
      <c r="N34" s="76"/>
      <c r="O34" s="76"/>
      <c r="P34" s="414"/>
      <c r="Q34" s="13"/>
    </row>
    <row r="35" spans="1:17" ht="15.6" x14ac:dyDescent="0.25">
      <c r="A35" s="401"/>
      <c r="B35" s="401"/>
      <c r="C35" s="102" t="s">
        <v>619</v>
      </c>
      <c r="D35" s="74" t="s">
        <v>525</v>
      </c>
      <c r="E35" s="74">
        <v>28</v>
      </c>
      <c r="F35" s="76">
        <f>F28</f>
        <v>0.87254901960784315</v>
      </c>
      <c r="G35" s="122">
        <f>G28</f>
        <v>61.574086000000001</v>
      </c>
      <c r="H35" s="109">
        <f>H28</f>
        <v>6.3</v>
      </c>
      <c r="I35" s="122"/>
      <c r="J35" s="109"/>
      <c r="K35" s="392" t="s">
        <v>529</v>
      </c>
      <c r="L35" s="393"/>
      <c r="M35" s="76"/>
      <c r="N35" s="76"/>
      <c r="O35" s="76"/>
      <c r="P35" s="414"/>
      <c r="Q35" s="13"/>
    </row>
    <row r="36" spans="1:17" ht="15.6" x14ac:dyDescent="0.25">
      <c r="A36" s="401"/>
      <c r="B36" s="401"/>
      <c r="C36" s="102" t="s">
        <v>619</v>
      </c>
      <c r="D36" s="74" t="s">
        <v>534</v>
      </c>
      <c r="E36" s="74">
        <v>15</v>
      </c>
      <c r="F36" s="76">
        <f>N36/20</f>
        <v>0.495</v>
      </c>
      <c r="G36" s="122">
        <f>22.2/100*E36</f>
        <v>3.33</v>
      </c>
      <c r="H36" s="109">
        <f>1.3/100*E36</f>
        <v>0.19500000000000001</v>
      </c>
      <c r="I36" s="122"/>
      <c r="J36" s="109"/>
      <c r="K36" s="392" t="s">
        <v>535</v>
      </c>
      <c r="L36" s="393"/>
      <c r="M36" s="76" t="s">
        <v>343</v>
      </c>
      <c r="N36" s="76">
        <v>9.9</v>
      </c>
      <c r="O36" s="76" t="s">
        <v>536</v>
      </c>
      <c r="P36" s="414"/>
      <c r="Q36" s="13" t="s">
        <v>559</v>
      </c>
    </row>
    <row r="37" spans="1:17" ht="15.6" x14ac:dyDescent="0.25">
      <c r="A37" s="401"/>
      <c r="B37" s="401"/>
      <c r="C37" s="102" t="s">
        <v>460</v>
      </c>
      <c r="D37" s="74" t="s">
        <v>47</v>
      </c>
      <c r="E37" s="74">
        <v>30</v>
      </c>
      <c r="F37" s="76">
        <v>0</v>
      </c>
      <c r="G37" s="123">
        <f>G24</f>
        <v>69.089880000000008</v>
      </c>
      <c r="H37" s="110">
        <f>H24</f>
        <v>12.030000000000001</v>
      </c>
      <c r="I37" s="123"/>
      <c r="J37" s="110"/>
      <c r="K37" s="76"/>
      <c r="L37" s="76"/>
      <c r="M37" s="76"/>
      <c r="N37" s="76"/>
      <c r="O37" s="76"/>
      <c r="P37" s="414"/>
      <c r="Q37" s="13"/>
    </row>
    <row r="38" spans="1:17" ht="16.8" thickBot="1" x14ac:dyDescent="0.3">
      <c r="A38" s="401"/>
      <c r="B38" s="404"/>
      <c r="C38" s="383" t="s">
        <v>356</v>
      </c>
      <c r="D38" s="384"/>
      <c r="E38" s="97">
        <f>SUM(E32:E37)</f>
        <v>214.6</v>
      </c>
      <c r="F38" s="98">
        <f>SUM(F32:F37)</f>
        <v>4.2987990196078432</v>
      </c>
      <c r="G38" s="124">
        <f t="shared" ref="G38:H38" si="12">SUM(G32:G37)</f>
        <v>699.01444480000009</v>
      </c>
      <c r="H38" s="111">
        <f t="shared" si="12"/>
        <v>31.020200000000003</v>
      </c>
      <c r="I38" s="130"/>
      <c r="J38" s="117"/>
      <c r="K38" s="80"/>
      <c r="L38" s="80"/>
      <c r="M38" s="80"/>
      <c r="N38" s="78">
        <f>SUM(N32:N37)</f>
        <v>47.5</v>
      </c>
      <c r="O38" s="80"/>
      <c r="P38" s="415"/>
      <c r="Q38" s="151"/>
    </row>
    <row r="39" spans="1:17" ht="15.6" x14ac:dyDescent="0.25">
      <c r="A39" s="401"/>
      <c r="B39" s="405" t="s">
        <v>385</v>
      </c>
      <c r="C39" s="104" t="s">
        <v>618</v>
      </c>
      <c r="D39" s="16" t="s">
        <v>483</v>
      </c>
      <c r="E39" s="16">
        <v>50</v>
      </c>
      <c r="F39" s="60">
        <f>N39/32</f>
        <v>1.0562499999999999</v>
      </c>
      <c r="G39" s="125">
        <f>I39*0.2389/100*E39</f>
        <v>166.15495000000001</v>
      </c>
      <c r="H39" s="112">
        <f>J39/100*E39</f>
        <v>4.05</v>
      </c>
      <c r="I39" s="125">
        <v>1391</v>
      </c>
      <c r="J39" s="112">
        <v>8.1</v>
      </c>
      <c r="K39" s="394" t="s">
        <v>484</v>
      </c>
      <c r="L39" s="395"/>
      <c r="M39" s="79" t="s">
        <v>463</v>
      </c>
      <c r="N39" s="79">
        <f>16.9*2</f>
        <v>33.799999999999997</v>
      </c>
      <c r="O39" s="79" t="s">
        <v>465</v>
      </c>
      <c r="P39" s="416"/>
      <c r="Q39" s="152"/>
    </row>
    <row r="40" spans="1:17" ht="15.6" x14ac:dyDescent="0.25">
      <c r="A40" s="401"/>
      <c r="B40" s="401"/>
      <c r="C40" s="102" t="s">
        <v>618</v>
      </c>
      <c r="D40" s="74" t="s">
        <v>206</v>
      </c>
      <c r="E40" s="74">
        <v>40</v>
      </c>
      <c r="F40" s="76">
        <f>F12*2</f>
        <v>0.95903614457831321</v>
      </c>
      <c r="G40" s="128">
        <f t="shared" ref="G40:G42" si="13">I40*0.2389/100*E40</f>
        <v>167.51667999999998</v>
      </c>
      <c r="H40" s="115">
        <f t="shared" ref="H40:H42" si="14">J40/100*E40</f>
        <v>3</v>
      </c>
      <c r="I40" s="122">
        <v>1753</v>
      </c>
      <c r="J40" s="109">
        <v>7.5</v>
      </c>
      <c r="K40" s="392" t="s">
        <v>540</v>
      </c>
      <c r="L40" s="393"/>
      <c r="M40" s="76"/>
      <c r="N40" s="76"/>
      <c r="O40" s="76"/>
      <c r="P40" s="414"/>
      <c r="Q40" s="13"/>
    </row>
    <row r="41" spans="1:17" ht="15.6" x14ac:dyDescent="0.25">
      <c r="A41" s="401"/>
      <c r="B41" s="401"/>
      <c r="C41" s="102" t="s">
        <v>460</v>
      </c>
      <c r="D41" s="74" t="s">
        <v>541</v>
      </c>
      <c r="E41" s="74">
        <v>32</v>
      </c>
      <c r="F41" s="76">
        <f>N41/20</f>
        <v>0.99</v>
      </c>
      <c r="G41" s="128">
        <f t="shared" si="13"/>
        <v>61.540640000000003</v>
      </c>
      <c r="H41" s="115">
        <f t="shared" si="14"/>
        <v>3.52</v>
      </c>
      <c r="I41" s="122">
        <v>805</v>
      </c>
      <c r="J41" s="109">
        <v>11</v>
      </c>
      <c r="K41" s="392" t="s">
        <v>557</v>
      </c>
      <c r="L41" s="393"/>
      <c r="M41" s="76" t="s">
        <v>556</v>
      </c>
      <c r="N41" s="76">
        <f>9.9*2</f>
        <v>19.8</v>
      </c>
      <c r="O41" s="76" t="s">
        <v>558</v>
      </c>
      <c r="P41" s="414"/>
      <c r="Q41" s="13" t="s">
        <v>560</v>
      </c>
    </row>
    <row r="42" spans="1:17" ht="15.6" x14ac:dyDescent="0.25">
      <c r="A42" s="401"/>
      <c r="B42" s="401"/>
      <c r="C42" s="102" t="s">
        <v>619</v>
      </c>
      <c r="D42" s="74" t="s">
        <v>524</v>
      </c>
      <c r="E42" s="74">
        <v>60</v>
      </c>
      <c r="F42" s="76">
        <f>N42/40</f>
        <v>1.6247499999999999</v>
      </c>
      <c r="G42" s="126">
        <f t="shared" si="13"/>
        <v>131.94447</v>
      </c>
      <c r="H42" s="113">
        <f t="shared" si="14"/>
        <v>13.5</v>
      </c>
      <c r="I42" s="122">
        <v>920.5</v>
      </c>
      <c r="J42" s="109">
        <v>22.5</v>
      </c>
      <c r="K42" s="392" t="s">
        <v>671</v>
      </c>
      <c r="L42" s="393"/>
      <c r="M42" s="76" t="s">
        <v>702</v>
      </c>
      <c r="N42" s="76">
        <v>64.989999999999995</v>
      </c>
      <c r="O42" s="76" t="s">
        <v>520</v>
      </c>
      <c r="P42" s="414"/>
      <c r="Q42" s="13" t="s">
        <v>703</v>
      </c>
    </row>
    <row r="43" spans="1:17" ht="15.6" x14ac:dyDescent="0.25">
      <c r="A43" s="401"/>
      <c r="B43" s="401"/>
      <c r="C43" s="102" t="s">
        <v>460</v>
      </c>
      <c r="D43" s="74" t="s">
        <v>47</v>
      </c>
      <c r="E43" s="74">
        <v>30</v>
      </c>
      <c r="F43" s="76">
        <v>0</v>
      </c>
      <c r="G43" s="123">
        <f>G24</f>
        <v>69.089880000000008</v>
      </c>
      <c r="H43" s="110">
        <f>H24</f>
        <v>12.030000000000001</v>
      </c>
      <c r="I43" s="123"/>
      <c r="J43" s="110"/>
      <c r="K43" s="76"/>
      <c r="L43" s="76"/>
      <c r="M43" s="76"/>
      <c r="N43" s="76"/>
      <c r="O43" s="76"/>
      <c r="P43" s="414"/>
      <c r="Q43" s="13"/>
    </row>
    <row r="44" spans="1:17" ht="16.8" thickBot="1" x14ac:dyDescent="0.3">
      <c r="A44" s="402"/>
      <c r="B44" s="402"/>
      <c r="C44" s="390" t="s">
        <v>356</v>
      </c>
      <c r="D44" s="391"/>
      <c r="E44" s="99">
        <f>SUM(E39:E43)</f>
        <v>212</v>
      </c>
      <c r="F44" s="100">
        <f>SUM(F39:F43)</f>
        <v>4.6300361445783125</v>
      </c>
      <c r="G44" s="141">
        <f t="shared" ref="G44:H44" si="15">SUM(G39:G43)</f>
        <v>596.24662000000001</v>
      </c>
      <c r="H44" s="135">
        <f t="shared" si="15"/>
        <v>36.1</v>
      </c>
      <c r="I44" s="131"/>
      <c r="J44" s="118"/>
      <c r="K44" s="81"/>
      <c r="L44" s="81"/>
      <c r="M44" s="81"/>
      <c r="N44" s="95">
        <f>SUM(N39:N43)</f>
        <v>118.58999999999999</v>
      </c>
      <c r="O44" s="81"/>
      <c r="P44" s="417"/>
      <c r="Q44" s="155"/>
    </row>
    <row r="45" spans="1:17" ht="16.2" customHeight="1" thickTop="1" x14ac:dyDescent="0.25">
      <c r="A45" s="440" t="s">
        <v>389</v>
      </c>
      <c r="B45" s="440" t="s">
        <v>380</v>
      </c>
      <c r="C45" s="85" t="s">
        <v>620</v>
      </c>
      <c r="D45" s="14" t="s">
        <v>563</v>
      </c>
      <c r="E45" s="14">
        <f>12*2</f>
        <v>24</v>
      </c>
      <c r="F45" s="61">
        <f>N45/60</f>
        <v>1.69</v>
      </c>
      <c r="G45" s="128">
        <f>179*0.2389*2</f>
        <v>85.526200000000003</v>
      </c>
      <c r="H45" s="115">
        <f>2.6*2</f>
        <v>5.2</v>
      </c>
      <c r="I45" s="128"/>
      <c r="J45" s="115"/>
      <c r="K45" s="442" t="s">
        <v>562</v>
      </c>
      <c r="L45" s="443"/>
      <c r="M45" s="61" t="s">
        <v>521</v>
      </c>
      <c r="N45" s="61">
        <f>33.8*3</f>
        <v>101.39999999999999</v>
      </c>
      <c r="O45" s="61" t="s">
        <v>300</v>
      </c>
      <c r="P45" s="438" t="s">
        <v>576</v>
      </c>
      <c r="Q45" s="150" t="s">
        <v>564</v>
      </c>
    </row>
    <row r="46" spans="1:17" ht="16.2" customHeight="1" x14ac:dyDescent="0.25">
      <c r="A46" s="440"/>
      <c r="B46" s="440"/>
      <c r="C46" s="102" t="s">
        <v>458</v>
      </c>
      <c r="D46" s="74" t="s">
        <v>63</v>
      </c>
      <c r="E46" s="74">
        <v>180</v>
      </c>
      <c r="F46" s="76">
        <f>N46/48</f>
        <v>0.99000000000000021</v>
      </c>
      <c r="G46" s="122">
        <f>I46*0.2389/100*E46</f>
        <v>639.86976000000004</v>
      </c>
      <c r="H46" s="109">
        <f>J46/100*E46</f>
        <v>22.32</v>
      </c>
      <c r="I46" s="122">
        <v>1488</v>
      </c>
      <c r="J46" s="109">
        <v>12.4</v>
      </c>
      <c r="K46" s="392" t="s">
        <v>572</v>
      </c>
      <c r="L46" s="393"/>
      <c r="M46" s="76" t="s">
        <v>573</v>
      </c>
      <c r="N46" s="76">
        <f>9.9*6*0.8</f>
        <v>47.52000000000001</v>
      </c>
      <c r="O46" s="76" t="s">
        <v>574</v>
      </c>
      <c r="P46" s="438"/>
      <c r="Q46" s="13" t="s">
        <v>575</v>
      </c>
    </row>
    <row r="47" spans="1:17" ht="16.2" customHeight="1" x14ac:dyDescent="0.25">
      <c r="A47" s="440"/>
      <c r="B47" s="440"/>
      <c r="C47" s="102" t="s">
        <v>619</v>
      </c>
      <c r="D47" s="74" t="s">
        <v>62</v>
      </c>
      <c r="E47" s="74">
        <v>55</v>
      </c>
      <c r="F47" s="76">
        <f>N47/2500*55</f>
        <v>0.24156</v>
      </c>
      <c r="G47" s="122">
        <f t="shared" ref="G47:G48" si="16">I47*0.2389/100*E47</f>
        <v>99.99159499999999</v>
      </c>
      <c r="H47" s="109">
        <f t="shared" ref="H47:H48" si="17">J47/100*E47</f>
        <v>8.8000000000000007</v>
      </c>
      <c r="I47" s="122">
        <v>761</v>
      </c>
      <c r="J47" s="109">
        <v>16</v>
      </c>
      <c r="K47" s="392" t="s">
        <v>579</v>
      </c>
      <c r="L47" s="393"/>
      <c r="M47" s="76" t="s">
        <v>169</v>
      </c>
      <c r="N47" s="76">
        <v>10.98</v>
      </c>
      <c r="O47" s="76" t="s">
        <v>578</v>
      </c>
      <c r="P47" s="438"/>
      <c r="Q47" s="13"/>
    </row>
    <row r="48" spans="1:17" ht="16.2" customHeight="1" x14ac:dyDescent="0.25">
      <c r="A48" s="440"/>
      <c r="B48" s="440"/>
      <c r="C48" s="102" t="s">
        <v>619</v>
      </c>
      <c r="D48" s="74" t="s">
        <v>61</v>
      </c>
      <c r="E48" s="74">
        <v>15.6</v>
      </c>
      <c r="F48" s="76">
        <f>N48/16</f>
        <v>3.1187499999999999</v>
      </c>
      <c r="G48" s="122">
        <f t="shared" si="16"/>
        <v>43.454954400000005</v>
      </c>
      <c r="H48" s="109">
        <f t="shared" si="17"/>
        <v>9.1727999999999987</v>
      </c>
      <c r="I48" s="122">
        <v>1166</v>
      </c>
      <c r="J48" s="109">
        <v>58.8</v>
      </c>
      <c r="K48" s="392" t="s">
        <v>583</v>
      </c>
      <c r="L48" s="393"/>
      <c r="M48" s="76" t="s">
        <v>584</v>
      </c>
      <c r="N48" s="76">
        <v>49.9</v>
      </c>
      <c r="O48" s="76" t="s">
        <v>647</v>
      </c>
      <c r="P48" s="438"/>
      <c r="Q48" s="13" t="s">
        <v>585</v>
      </c>
    </row>
    <row r="49" spans="1:17" ht="16.2" customHeight="1" x14ac:dyDescent="0.25">
      <c r="A49" s="440"/>
      <c r="B49" s="440"/>
      <c r="C49" s="102" t="s">
        <v>619</v>
      </c>
      <c r="D49" s="74" t="s">
        <v>533</v>
      </c>
      <c r="E49" s="74">
        <v>17.5</v>
      </c>
      <c r="F49" s="76">
        <f>N49/10/4</f>
        <v>0.49749999999999994</v>
      </c>
      <c r="G49" s="122">
        <f>G36/15*E49</f>
        <v>3.8850000000000002</v>
      </c>
      <c r="H49" s="109">
        <f>H36/15*E49</f>
        <v>0.22750000000000001</v>
      </c>
      <c r="I49" s="122"/>
      <c r="J49" s="109"/>
      <c r="K49" s="392" t="s">
        <v>649</v>
      </c>
      <c r="L49" s="393"/>
      <c r="M49" s="76" t="s">
        <v>650</v>
      </c>
      <c r="N49" s="76">
        <v>19.899999999999999</v>
      </c>
      <c r="O49" s="76" t="s">
        <v>532</v>
      </c>
      <c r="P49" s="438"/>
      <c r="Q49" s="13" t="s">
        <v>651</v>
      </c>
    </row>
    <row r="50" spans="1:17" ht="16.2" customHeight="1" x14ac:dyDescent="0.25">
      <c r="A50" s="440"/>
      <c r="B50" s="440"/>
      <c r="C50" s="102" t="s">
        <v>457</v>
      </c>
      <c r="D50" s="74" t="s">
        <v>487</v>
      </c>
      <c r="E50" s="74">
        <f>23.5*2</f>
        <v>47</v>
      </c>
      <c r="F50" s="76">
        <f>N50/34</f>
        <v>0.99705882352941178</v>
      </c>
      <c r="G50" s="128">
        <f>I50*0.2389/100*E50</f>
        <v>172.24212199999999</v>
      </c>
      <c r="H50" s="115">
        <f>J50/100*E50</f>
        <v>3.1020000000000003</v>
      </c>
      <c r="I50" s="122">
        <v>1534</v>
      </c>
      <c r="J50" s="109">
        <v>6.6</v>
      </c>
      <c r="K50" s="392" t="s">
        <v>673</v>
      </c>
      <c r="L50" s="393"/>
      <c r="M50" s="76" t="s">
        <v>463</v>
      </c>
      <c r="N50" s="76">
        <v>33.9</v>
      </c>
      <c r="O50" s="76" t="s">
        <v>465</v>
      </c>
      <c r="P50" s="438"/>
      <c r="Q50" s="13" t="s">
        <v>674</v>
      </c>
    </row>
    <row r="51" spans="1:17" ht="16.2" customHeight="1" x14ac:dyDescent="0.25">
      <c r="A51" s="440"/>
      <c r="B51" s="440"/>
      <c r="C51" s="102" t="s">
        <v>460</v>
      </c>
      <c r="D51" s="74" t="s">
        <v>47</v>
      </c>
      <c r="E51" s="74">
        <v>30</v>
      </c>
      <c r="F51" s="76">
        <v>0</v>
      </c>
      <c r="G51" s="123">
        <f>G24</f>
        <v>69.089880000000008</v>
      </c>
      <c r="H51" s="110">
        <f>H24</f>
        <v>12.030000000000001</v>
      </c>
      <c r="I51" s="123"/>
      <c r="J51" s="110"/>
      <c r="K51" s="76"/>
      <c r="L51" s="76"/>
      <c r="M51" s="76"/>
      <c r="N51" s="76"/>
      <c r="O51" s="76"/>
      <c r="P51" s="438"/>
      <c r="Q51" s="13"/>
    </row>
    <row r="52" spans="1:17" ht="16.2" customHeight="1" thickBot="1" x14ac:dyDescent="0.3">
      <c r="A52" s="440"/>
      <c r="B52" s="441"/>
      <c r="C52" s="383" t="s">
        <v>356</v>
      </c>
      <c r="D52" s="384"/>
      <c r="E52" s="97">
        <f>SUM(E45:E51)</f>
        <v>369.1</v>
      </c>
      <c r="F52" s="98">
        <f>SUM(F45:F51)</f>
        <v>7.5348688235294112</v>
      </c>
      <c r="G52" s="124">
        <f>SUM(G45:G51)</f>
        <v>1114.0595114</v>
      </c>
      <c r="H52" s="111">
        <f>SUM(H45:H51)</f>
        <v>60.8523</v>
      </c>
      <c r="I52" s="124"/>
      <c r="J52" s="111"/>
      <c r="K52" s="56"/>
      <c r="L52" s="56"/>
      <c r="M52" s="56"/>
      <c r="N52" s="59">
        <f>SUM(N45:N51)</f>
        <v>263.60000000000002</v>
      </c>
      <c r="O52" s="56"/>
      <c r="P52" s="439"/>
      <c r="Q52" s="151"/>
    </row>
    <row r="53" spans="1:17" ht="16.2" customHeight="1" thickBot="1" x14ac:dyDescent="0.3">
      <c r="A53" s="440"/>
      <c r="B53" s="405" t="s">
        <v>486</v>
      </c>
      <c r="C53" s="104" t="s">
        <v>458</v>
      </c>
      <c r="D53" s="16" t="s">
        <v>381</v>
      </c>
      <c r="E53" s="16">
        <v>46.8</v>
      </c>
      <c r="F53" s="60">
        <f>32/16</f>
        <v>2</v>
      </c>
      <c r="G53" s="136">
        <f>I53*0.2389/100*E53</f>
        <v>176.09318999999996</v>
      </c>
      <c r="H53" s="137">
        <f>J53/100*E53</f>
        <v>4.6331999999999995</v>
      </c>
      <c r="I53" s="125">
        <v>1575</v>
      </c>
      <c r="J53" s="112">
        <v>9.9</v>
      </c>
      <c r="K53" s="394" t="s">
        <v>591</v>
      </c>
      <c r="L53" s="395"/>
      <c r="M53" s="60"/>
      <c r="N53" s="60"/>
      <c r="O53" s="60" t="s">
        <v>645</v>
      </c>
      <c r="P53" s="427" t="s">
        <v>395</v>
      </c>
      <c r="Q53" s="152" t="s">
        <v>592</v>
      </c>
    </row>
    <row r="54" spans="1:17" ht="16.2" customHeight="1" x14ac:dyDescent="0.25">
      <c r="A54" s="440"/>
      <c r="B54" s="401"/>
      <c r="C54" s="102" t="s">
        <v>54</v>
      </c>
      <c r="D54" s="74" t="s">
        <v>57</v>
      </c>
      <c r="E54" s="74">
        <v>15</v>
      </c>
      <c r="F54" s="76">
        <f>12.8/10/2</f>
        <v>0.64</v>
      </c>
      <c r="G54" s="123">
        <f t="shared" ref="G54:G60" si="18">I54*0.2389/100*E54</f>
        <v>10.284644999999999</v>
      </c>
      <c r="H54" s="110">
        <f t="shared" ref="H54:H60" si="19">J54/100*E54</f>
        <v>0.20999999999999996</v>
      </c>
      <c r="I54" s="128">
        <v>287</v>
      </c>
      <c r="J54" s="115">
        <v>1.4</v>
      </c>
      <c r="K54" s="394" t="s">
        <v>591</v>
      </c>
      <c r="L54" s="395"/>
      <c r="M54" s="76"/>
      <c r="N54" s="76"/>
      <c r="O54" s="76" t="s">
        <v>300</v>
      </c>
      <c r="P54" s="428"/>
      <c r="Q54" s="13" t="s">
        <v>593</v>
      </c>
    </row>
    <row r="55" spans="1:17" ht="16.2" customHeight="1" x14ac:dyDescent="0.25">
      <c r="A55" s="440"/>
      <c r="B55" s="401"/>
      <c r="C55" s="102" t="s">
        <v>458</v>
      </c>
      <c r="D55" s="74" t="s">
        <v>310</v>
      </c>
      <c r="E55" s="74">
        <v>150</v>
      </c>
      <c r="F55" s="76">
        <f>N55/16</f>
        <v>3.125</v>
      </c>
      <c r="G55" s="123">
        <f>246.1/100*E55</f>
        <v>369.15</v>
      </c>
      <c r="H55" s="110">
        <f>9.5/100*E55</f>
        <v>14.25</v>
      </c>
      <c r="I55" s="122"/>
      <c r="J55" s="109"/>
      <c r="K55" s="392" t="s">
        <v>594</v>
      </c>
      <c r="L55" s="393"/>
      <c r="M55" s="76" t="s">
        <v>595</v>
      </c>
      <c r="N55" s="76">
        <f>30+20</f>
        <v>50</v>
      </c>
      <c r="O55" s="76" t="s">
        <v>596</v>
      </c>
      <c r="P55" s="428"/>
      <c r="Q55" s="13"/>
    </row>
    <row r="56" spans="1:17" ht="16.2" customHeight="1" x14ac:dyDescent="0.25">
      <c r="A56" s="440"/>
      <c r="B56" s="401"/>
      <c r="C56" s="102" t="s">
        <v>619</v>
      </c>
      <c r="D56" s="74" t="s">
        <v>597</v>
      </c>
      <c r="E56" s="74">
        <v>31.2</v>
      </c>
      <c r="F56" s="76">
        <f>N56/16</f>
        <v>0.84375</v>
      </c>
      <c r="G56" s="123">
        <f t="shared" si="18"/>
        <v>50.386876799999996</v>
      </c>
      <c r="H56" s="110">
        <f t="shared" si="19"/>
        <v>2.1215999999999999</v>
      </c>
      <c r="I56" s="122">
        <v>676</v>
      </c>
      <c r="J56" s="109">
        <v>6.8</v>
      </c>
      <c r="K56" s="392" t="s">
        <v>598</v>
      </c>
      <c r="L56" s="393"/>
      <c r="M56" s="76" t="s">
        <v>341</v>
      </c>
      <c r="N56" s="76">
        <v>13.5</v>
      </c>
      <c r="O56" s="76" t="s">
        <v>599</v>
      </c>
      <c r="P56" s="428"/>
      <c r="Q56" s="13"/>
    </row>
    <row r="57" spans="1:17" ht="16.2" customHeight="1" x14ac:dyDescent="0.25">
      <c r="A57" s="440"/>
      <c r="B57" s="401"/>
      <c r="C57" s="102" t="s">
        <v>619</v>
      </c>
      <c r="D57" s="74" t="s">
        <v>62</v>
      </c>
      <c r="E57" s="74">
        <v>46</v>
      </c>
      <c r="F57" s="76">
        <f>N47/2500*E57</f>
        <v>0.20203199999999999</v>
      </c>
      <c r="G57" s="123">
        <f t="shared" si="18"/>
        <v>83.629334</v>
      </c>
      <c r="H57" s="110">
        <f t="shared" si="19"/>
        <v>7.36</v>
      </c>
      <c r="I57" s="122">
        <v>761</v>
      </c>
      <c r="J57" s="109">
        <v>16</v>
      </c>
      <c r="K57" s="392" t="s">
        <v>580</v>
      </c>
      <c r="L57" s="393"/>
      <c r="M57" s="76"/>
      <c r="N57" s="76"/>
      <c r="O57" s="76"/>
      <c r="P57" s="428"/>
      <c r="Q57" s="13"/>
    </row>
    <row r="58" spans="1:17" ht="16.2" customHeight="1" x14ac:dyDescent="0.25">
      <c r="A58" s="440"/>
      <c r="B58" s="401"/>
      <c r="C58" s="102" t="s">
        <v>619</v>
      </c>
      <c r="D58" s="74" t="s">
        <v>61</v>
      </c>
      <c r="E58" s="74">
        <v>15</v>
      </c>
      <c r="F58" s="76">
        <v>3.12</v>
      </c>
      <c r="G58" s="123">
        <f t="shared" si="18"/>
        <v>41.78361000000001</v>
      </c>
      <c r="H58" s="110">
        <f t="shared" si="19"/>
        <v>8.82</v>
      </c>
      <c r="I58" s="122">
        <v>1166</v>
      </c>
      <c r="J58" s="109">
        <v>58.8</v>
      </c>
      <c r="K58" s="392" t="s">
        <v>582</v>
      </c>
      <c r="L58" s="393"/>
      <c r="M58" s="76"/>
      <c r="N58" s="76"/>
      <c r="O58" s="76"/>
      <c r="P58" s="428"/>
      <c r="Q58" s="13"/>
    </row>
    <row r="59" spans="1:17" ht="16.2" customHeight="1" x14ac:dyDescent="0.25">
      <c r="A59" s="440"/>
      <c r="B59" s="401"/>
      <c r="C59" s="102" t="s">
        <v>54</v>
      </c>
      <c r="D59" s="74" t="s">
        <v>568</v>
      </c>
      <c r="E59" s="74">
        <v>20</v>
      </c>
      <c r="F59" s="76">
        <f>N59/4/4</f>
        <v>1.055625</v>
      </c>
      <c r="G59" s="123">
        <f t="shared" si="18"/>
        <v>51.411280000000005</v>
      </c>
      <c r="H59" s="110">
        <f t="shared" si="19"/>
        <v>1.52</v>
      </c>
      <c r="I59" s="122">
        <v>1076</v>
      </c>
      <c r="J59" s="109">
        <v>7.6</v>
      </c>
      <c r="K59" s="392" t="s">
        <v>569</v>
      </c>
      <c r="L59" s="393"/>
      <c r="M59" s="76" t="s">
        <v>570</v>
      </c>
      <c r="N59" s="76">
        <f>2.13*7+1.98</f>
        <v>16.89</v>
      </c>
      <c r="O59" s="76" t="s">
        <v>300</v>
      </c>
      <c r="P59" s="428"/>
      <c r="Q59" s="13" t="s">
        <v>571</v>
      </c>
    </row>
    <row r="60" spans="1:17" ht="16.2" customHeight="1" x14ac:dyDescent="0.25">
      <c r="A60" s="440"/>
      <c r="B60" s="401"/>
      <c r="C60" s="102" t="s">
        <v>457</v>
      </c>
      <c r="D60" s="74" t="s">
        <v>94</v>
      </c>
      <c r="E60" s="74">
        <v>18</v>
      </c>
      <c r="F60" s="76">
        <f>F6</f>
        <v>0.39636363636363636</v>
      </c>
      <c r="G60" s="123">
        <f t="shared" si="18"/>
        <v>88.025093999999996</v>
      </c>
      <c r="H60" s="110">
        <f t="shared" si="19"/>
        <v>1.2779999999999998</v>
      </c>
      <c r="I60" s="122">
        <v>2047</v>
      </c>
      <c r="J60" s="109">
        <v>7.1</v>
      </c>
      <c r="K60" s="392" t="s">
        <v>502</v>
      </c>
      <c r="L60" s="393"/>
      <c r="M60" s="76"/>
      <c r="N60" s="76"/>
      <c r="O60" s="76"/>
      <c r="P60" s="428"/>
      <c r="Q60" s="13"/>
    </row>
    <row r="61" spans="1:17" ht="16.2" customHeight="1" x14ac:dyDescent="0.25">
      <c r="A61" s="440"/>
      <c r="B61" s="401"/>
      <c r="C61" s="102" t="s">
        <v>460</v>
      </c>
      <c r="D61" s="74" t="s">
        <v>47</v>
      </c>
      <c r="E61" s="74">
        <v>30</v>
      </c>
      <c r="F61" s="76">
        <v>0</v>
      </c>
      <c r="G61" s="123">
        <f>G24</f>
        <v>69.089880000000008</v>
      </c>
      <c r="H61" s="110">
        <f>H24</f>
        <v>12.030000000000001</v>
      </c>
      <c r="I61" s="123"/>
      <c r="J61" s="110"/>
      <c r="K61" s="76"/>
      <c r="L61" s="76"/>
      <c r="M61" s="76"/>
      <c r="N61" s="76"/>
      <c r="O61" s="76"/>
      <c r="P61" s="428"/>
      <c r="Q61" s="13"/>
    </row>
    <row r="62" spans="1:17" ht="16.2" customHeight="1" thickBot="1" x14ac:dyDescent="0.3">
      <c r="A62" s="440"/>
      <c r="B62" s="404"/>
      <c r="C62" s="383" t="s">
        <v>356</v>
      </c>
      <c r="D62" s="384"/>
      <c r="E62" s="97">
        <f>SUM(E53:E61)</f>
        <v>372</v>
      </c>
      <c r="F62" s="98">
        <f>SUM(F53:F61)</f>
        <v>11.382770636363636</v>
      </c>
      <c r="G62" s="124">
        <f t="shared" ref="G62:H62" si="20">SUM(G53:G61)</f>
        <v>939.8539098</v>
      </c>
      <c r="H62" s="111">
        <f t="shared" si="20"/>
        <v>52.222800000000007</v>
      </c>
      <c r="I62" s="124"/>
      <c r="J62" s="111"/>
      <c r="K62" s="56"/>
      <c r="L62" s="56"/>
      <c r="M62" s="56"/>
      <c r="N62" s="59">
        <f>SUM(N53:N61)</f>
        <v>80.39</v>
      </c>
      <c r="O62" s="56"/>
      <c r="P62" s="429"/>
      <c r="Q62" s="151"/>
    </row>
    <row r="63" spans="1:17" ht="16.2" customHeight="1" x14ac:dyDescent="0.25">
      <c r="A63" s="440"/>
      <c r="B63" s="452" t="s">
        <v>485</v>
      </c>
      <c r="C63" s="85" t="s">
        <v>458</v>
      </c>
      <c r="D63" s="14" t="s">
        <v>387</v>
      </c>
      <c r="E63" s="14">
        <v>120</v>
      </c>
      <c r="F63" s="61">
        <f>N63/15</f>
        <v>1.9933333333333332</v>
      </c>
      <c r="G63" s="128">
        <f>I63*0.2389/100*E63</f>
        <v>426.86652000000004</v>
      </c>
      <c r="H63" s="115">
        <f>J63/100*E63</f>
        <v>6.7199999999999989</v>
      </c>
      <c r="I63" s="128">
        <v>1489</v>
      </c>
      <c r="J63" s="115">
        <v>5.6</v>
      </c>
      <c r="K63" s="442" t="s">
        <v>601</v>
      </c>
      <c r="L63" s="443"/>
      <c r="M63" s="61" t="s">
        <v>602</v>
      </c>
      <c r="N63" s="61">
        <v>29.9</v>
      </c>
      <c r="O63" s="61" t="s">
        <v>600</v>
      </c>
      <c r="P63" s="438" t="s">
        <v>391</v>
      </c>
      <c r="Q63" s="150" t="s">
        <v>603</v>
      </c>
    </row>
    <row r="64" spans="1:17" ht="16.2" customHeight="1" x14ac:dyDescent="0.25">
      <c r="A64" s="440"/>
      <c r="B64" s="440"/>
      <c r="C64" s="102" t="s">
        <v>619</v>
      </c>
      <c r="D64" s="74" t="s">
        <v>390</v>
      </c>
      <c r="E64" s="74">
        <v>31.2</v>
      </c>
      <c r="F64" s="76">
        <f>N64/16</f>
        <v>1.4875</v>
      </c>
      <c r="G64" s="128">
        <f t="shared" ref="G64:G69" si="21">I64*0.2389/100*E64</f>
        <v>183.21145439999998</v>
      </c>
      <c r="H64" s="115">
        <f t="shared" ref="H64:H69" si="22">J64/100*E64</f>
        <v>4.992</v>
      </c>
      <c r="I64" s="122">
        <v>2458</v>
      </c>
      <c r="J64" s="109">
        <v>16</v>
      </c>
      <c r="K64" s="392" t="s">
        <v>604</v>
      </c>
      <c r="L64" s="393"/>
      <c r="M64" s="76" t="s">
        <v>341</v>
      </c>
      <c r="N64" s="76">
        <v>23.8</v>
      </c>
      <c r="O64" s="76" t="s">
        <v>605</v>
      </c>
      <c r="P64" s="438"/>
      <c r="Q64" s="13" t="s">
        <v>606</v>
      </c>
    </row>
    <row r="65" spans="1:17" ht="16.2" customHeight="1" x14ac:dyDescent="0.25">
      <c r="A65" s="440"/>
      <c r="B65" s="440"/>
      <c r="C65" s="102" t="s">
        <v>54</v>
      </c>
      <c r="D65" s="74" t="s">
        <v>607</v>
      </c>
      <c r="E65" s="74">
        <v>16</v>
      </c>
      <c r="F65" s="76">
        <v>0.65</v>
      </c>
      <c r="G65" s="128">
        <f t="shared" si="21"/>
        <v>66.624431999999999</v>
      </c>
      <c r="H65" s="115">
        <f t="shared" si="22"/>
        <v>0.96</v>
      </c>
      <c r="I65" s="122">
        <v>1743</v>
      </c>
      <c r="J65" s="109">
        <v>6</v>
      </c>
      <c r="K65" s="392" t="s">
        <v>608</v>
      </c>
      <c r="L65" s="393"/>
      <c r="M65" s="76" t="s">
        <v>609</v>
      </c>
      <c r="N65" s="76">
        <v>3</v>
      </c>
      <c r="O65" s="76" t="s">
        <v>300</v>
      </c>
      <c r="P65" s="438"/>
      <c r="Q65" s="13" t="s">
        <v>610</v>
      </c>
    </row>
    <row r="66" spans="1:17" ht="16.2" customHeight="1" x14ac:dyDescent="0.25">
      <c r="A66" s="440"/>
      <c r="B66" s="440"/>
      <c r="C66" s="102" t="s">
        <v>619</v>
      </c>
      <c r="D66" s="74" t="s">
        <v>646</v>
      </c>
      <c r="E66" s="74">
        <v>17.5</v>
      </c>
      <c r="F66" s="76">
        <f>N66/2/16</f>
        <v>0.45</v>
      </c>
      <c r="G66" s="128">
        <f t="shared" si="21"/>
        <v>14.2563575</v>
      </c>
      <c r="H66" s="115">
        <f t="shared" si="22"/>
        <v>0.17500000000000002</v>
      </c>
      <c r="I66" s="122">
        <v>341</v>
      </c>
      <c r="J66" s="109">
        <v>1</v>
      </c>
      <c r="K66" s="392" t="s">
        <v>565</v>
      </c>
      <c r="L66" s="393"/>
      <c r="M66" s="76" t="s">
        <v>566</v>
      </c>
      <c r="N66" s="76">
        <f>1.8*8</f>
        <v>14.4</v>
      </c>
      <c r="O66" s="76" t="s">
        <v>300</v>
      </c>
      <c r="P66" s="438"/>
      <c r="Q66" s="13" t="s">
        <v>567</v>
      </c>
    </row>
    <row r="67" spans="1:17" ht="16.2" customHeight="1" x14ac:dyDescent="0.25">
      <c r="A67" s="440"/>
      <c r="B67" s="440"/>
      <c r="C67" s="102" t="s">
        <v>619</v>
      </c>
      <c r="D67" s="74" t="s">
        <v>669</v>
      </c>
      <c r="E67" s="74">
        <v>46.8</v>
      </c>
      <c r="F67" s="76">
        <f>N67/16/2</f>
        <v>0.24687500000000001</v>
      </c>
      <c r="G67" s="128">
        <f t="shared" si="21"/>
        <v>85.083757199999994</v>
      </c>
      <c r="H67" s="115">
        <f t="shared" si="22"/>
        <v>7.4879999999999995</v>
      </c>
      <c r="I67" s="122">
        <v>761</v>
      </c>
      <c r="J67" s="109">
        <v>16</v>
      </c>
      <c r="K67" s="392" t="s">
        <v>672</v>
      </c>
      <c r="L67" s="393"/>
      <c r="M67" s="76" t="s">
        <v>422</v>
      </c>
      <c r="N67" s="76">
        <v>7.9</v>
      </c>
      <c r="O67" s="76" t="s">
        <v>670</v>
      </c>
      <c r="P67" s="438"/>
      <c r="Q67" s="13"/>
    </row>
    <row r="68" spans="1:17" ht="16.2" customHeight="1" x14ac:dyDescent="0.25">
      <c r="A68" s="440"/>
      <c r="B68" s="440"/>
      <c r="C68" s="102" t="s">
        <v>619</v>
      </c>
      <c r="D68" s="74" t="s">
        <v>61</v>
      </c>
      <c r="E68" s="74">
        <v>15.6</v>
      </c>
      <c r="F68" s="76">
        <f>F48</f>
        <v>3.1187499999999999</v>
      </c>
      <c r="G68" s="123">
        <f t="shared" ref="G68:H68" si="23">G48</f>
        <v>43.454954400000005</v>
      </c>
      <c r="H68" s="110">
        <f t="shared" si="23"/>
        <v>9.1727999999999987</v>
      </c>
      <c r="I68" s="122"/>
      <c r="J68" s="109"/>
      <c r="K68" s="82"/>
      <c r="L68" s="83"/>
      <c r="M68" s="76"/>
      <c r="N68" s="76"/>
      <c r="O68" s="76"/>
      <c r="P68" s="438"/>
      <c r="Q68" s="13"/>
    </row>
    <row r="69" spans="1:17" ht="16.2" customHeight="1" x14ac:dyDescent="0.25">
      <c r="A69" s="440"/>
      <c r="B69" s="440"/>
      <c r="C69" s="102" t="s">
        <v>460</v>
      </c>
      <c r="D69" s="74" t="s">
        <v>611</v>
      </c>
      <c r="E69" s="74">
        <v>40</v>
      </c>
      <c r="F69" s="76">
        <f>N69/35</f>
        <v>1.5628571428571429</v>
      </c>
      <c r="G69" s="128">
        <f t="shared" si="21"/>
        <v>66.605320000000006</v>
      </c>
      <c r="H69" s="115">
        <f t="shared" si="22"/>
        <v>7.52</v>
      </c>
      <c r="I69" s="122">
        <v>697</v>
      </c>
      <c r="J69" s="109">
        <v>18.8</v>
      </c>
      <c r="K69" s="392" t="s">
        <v>612</v>
      </c>
      <c r="L69" s="393"/>
      <c r="M69" s="76" t="s">
        <v>613</v>
      </c>
      <c r="N69" s="76">
        <f>44.9+9.8</f>
        <v>54.7</v>
      </c>
      <c r="O69" s="76" t="s">
        <v>615</v>
      </c>
      <c r="P69" s="438"/>
      <c r="Q69" s="13" t="s">
        <v>614</v>
      </c>
    </row>
    <row r="70" spans="1:17" ht="16.2" customHeight="1" x14ac:dyDescent="0.25">
      <c r="A70" s="440"/>
      <c r="B70" s="440"/>
      <c r="C70" s="102" t="s">
        <v>460</v>
      </c>
      <c r="D70" s="74" t="s">
        <v>47</v>
      </c>
      <c r="E70" s="74">
        <v>30</v>
      </c>
      <c r="F70" s="76">
        <v>0</v>
      </c>
      <c r="G70" s="123">
        <f>G24</f>
        <v>69.089880000000008</v>
      </c>
      <c r="H70" s="110">
        <f>H24</f>
        <v>12.030000000000001</v>
      </c>
      <c r="I70" s="123"/>
      <c r="J70" s="110"/>
      <c r="K70" s="76"/>
      <c r="L70" s="76"/>
      <c r="M70" s="76"/>
      <c r="N70" s="76"/>
      <c r="O70" s="76"/>
      <c r="P70" s="438"/>
      <c r="Q70" s="13"/>
    </row>
    <row r="71" spans="1:17" ht="16.2" customHeight="1" x14ac:dyDescent="0.25">
      <c r="A71" s="440"/>
      <c r="B71" s="440"/>
      <c r="C71" s="102" t="s">
        <v>621</v>
      </c>
      <c r="D71" s="74" t="s">
        <v>146</v>
      </c>
      <c r="E71" s="74">
        <v>30</v>
      </c>
      <c r="F71" s="76">
        <f>F9</f>
        <v>1.032</v>
      </c>
      <c r="G71" s="123">
        <f t="shared" ref="G71:H71" si="24">G9</f>
        <v>121.839</v>
      </c>
      <c r="H71" s="110">
        <f t="shared" si="24"/>
        <v>5.3999999999999995</v>
      </c>
      <c r="I71" s="123"/>
      <c r="J71" s="110"/>
      <c r="K71" s="76"/>
      <c r="L71" s="76"/>
      <c r="M71" s="76"/>
      <c r="N71" s="76"/>
      <c r="O71" s="76"/>
      <c r="P71" s="438"/>
      <c r="Q71" s="13"/>
    </row>
    <row r="72" spans="1:17" ht="16.2" customHeight="1" x14ac:dyDescent="0.25">
      <c r="A72" s="440"/>
      <c r="B72" s="440"/>
      <c r="C72" s="102" t="s">
        <v>619</v>
      </c>
      <c r="D72" s="74" t="s">
        <v>53</v>
      </c>
      <c r="E72" s="74">
        <v>20</v>
      </c>
      <c r="F72" s="76">
        <v>0.46</v>
      </c>
      <c r="G72" s="128">
        <f t="shared" ref="G72" si="25">I72*0.2389/100*E72</f>
        <v>51.076819999999998</v>
      </c>
      <c r="H72" s="115">
        <f t="shared" ref="H72" si="26">J72/100*E72</f>
        <v>1.26</v>
      </c>
      <c r="I72" s="122">
        <v>1069</v>
      </c>
      <c r="J72" s="109">
        <v>6.3</v>
      </c>
      <c r="K72" s="392" t="s">
        <v>591</v>
      </c>
      <c r="L72" s="393"/>
      <c r="M72" s="76"/>
      <c r="N72" s="76"/>
      <c r="O72" s="76"/>
      <c r="P72" s="438"/>
      <c r="Q72" s="13"/>
    </row>
    <row r="73" spans="1:17" ht="16.2" customHeight="1" x14ac:dyDescent="0.25">
      <c r="A73" s="407"/>
      <c r="B73" s="407"/>
      <c r="C73" s="385" t="s">
        <v>356</v>
      </c>
      <c r="D73" s="386"/>
      <c r="E73" s="69">
        <f>SUM(E63:E72)</f>
        <v>367.1</v>
      </c>
      <c r="F73" s="101">
        <f>SUM(F63:F72)</f>
        <v>11.001315476190477</v>
      </c>
      <c r="G73" s="132">
        <f>SUM(G63:G72)</f>
        <v>1128.1084955000001</v>
      </c>
      <c r="H73" s="119">
        <f>SUM(H63:H72)</f>
        <v>55.717799999999997</v>
      </c>
      <c r="I73" s="132"/>
      <c r="J73" s="119"/>
      <c r="K73" s="57"/>
      <c r="L73" s="57"/>
      <c r="M73" s="57"/>
      <c r="N73" s="62">
        <f>SUM(N63:N72)</f>
        <v>133.70000000000002</v>
      </c>
      <c r="O73" s="57"/>
      <c r="P73" s="408"/>
      <c r="Q73" s="13"/>
    </row>
    <row r="75" spans="1:17" ht="21" customHeight="1" x14ac:dyDescent="0.25">
      <c r="F75" s="146" t="s">
        <v>364</v>
      </c>
      <c r="G75" s="147" t="s">
        <v>698</v>
      </c>
      <c r="H75" s="148" t="s">
        <v>701</v>
      </c>
      <c r="I75" s="158" t="s">
        <v>706</v>
      </c>
      <c r="J75" s="159" t="s">
        <v>117</v>
      </c>
      <c r="K75" s="159" t="s">
        <v>117</v>
      </c>
    </row>
    <row r="76" spans="1:17" x14ac:dyDescent="0.25">
      <c r="F76" s="76" t="s">
        <v>675</v>
      </c>
      <c r="G76" s="123">
        <f>G8</f>
        <v>763.3175126000001</v>
      </c>
      <c r="H76" s="110">
        <f>H8</f>
        <v>24.557800000000004</v>
      </c>
      <c r="I76" s="76">
        <f>F8</f>
        <v>3.3866414141414145</v>
      </c>
      <c r="J76" s="157" t="s">
        <v>694</v>
      </c>
      <c r="K76" s="444" t="s">
        <v>977</v>
      </c>
    </row>
    <row r="77" spans="1:17" x14ac:dyDescent="0.25">
      <c r="F77" s="76" t="s">
        <v>677</v>
      </c>
      <c r="G77" s="123">
        <f>G15</f>
        <v>774.08067429999994</v>
      </c>
      <c r="H77" s="110">
        <f>H15</f>
        <v>24.520199999999999</v>
      </c>
      <c r="I77" s="76">
        <f>F15</f>
        <v>4.2362339813800656</v>
      </c>
      <c r="J77" s="157" t="s">
        <v>695</v>
      </c>
      <c r="K77" s="445"/>
    </row>
    <row r="78" spans="1:17" ht="16.8" thickBot="1" x14ac:dyDescent="0.3">
      <c r="F78" s="87" t="s">
        <v>678</v>
      </c>
      <c r="G78" s="142">
        <f>G20</f>
        <v>775.57236589999991</v>
      </c>
      <c r="H78" s="143">
        <f>H20</f>
        <v>23.503200000000003</v>
      </c>
      <c r="I78" s="87">
        <f>F20</f>
        <v>2.6604166666666664</v>
      </c>
      <c r="J78" s="161" t="s">
        <v>37</v>
      </c>
      <c r="K78" s="445"/>
    </row>
    <row r="79" spans="1:17" x14ac:dyDescent="0.25">
      <c r="F79" s="60" t="s">
        <v>679</v>
      </c>
      <c r="G79" s="144">
        <f>G25</f>
        <v>784.413816</v>
      </c>
      <c r="H79" s="138">
        <f>H25</f>
        <v>31.880000000000003</v>
      </c>
      <c r="I79" s="60">
        <f>F25</f>
        <v>3.3605847338935573</v>
      </c>
      <c r="J79" s="162" t="s">
        <v>696</v>
      </c>
      <c r="K79" s="445"/>
    </row>
    <row r="80" spans="1:17" x14ac:dyDescent="0.25">
      <c r="F80" s="76" t="s">
        <v>680</v>
      </c>
      <c r="G80" s="123">
        <f>G31</f>
        <v>677.02133790000005</v>
      </c>
      <c r="H80" s="110">
        <f>H31</f>
        <v>26.7256</v>
      </c>
      <c r="I80" s="76">
        <f>F31</f>
        <v>4.2401855742296917</v>
      </c>
      <c r="J80" s="157" t="s">
        <v>697</v>
      </c>
      <c r="K80" s="445"/>
    </row>
    <row r="81" spans="5:12" x14ac:dyDescent="0.25">
      <c r="F81" s="76" t="s">
        <v>681</v>
      </c>
      <c r="G81" s="123">
        <f>G38</f>
        <v>699.01444480000009</v>
      </c>
      <c r="H81" s="110">
        <f>H38</f>
        <v>31.020200000000003</v>
      </c>
      <c r="I81" s="76">
        <f>F38</f>
        <v>4.2987990196078432</v>
      </c>
      <c r="J81" s="157" t="s">
        <v>696</v>
      </c>
      <c r="K81" s="445"/>
    </row>
    <row r="82" spans="5:12" ht="16.8" thickBot="1" x14ac:dyDescent="0.3">
      <c r="F82" s="145" t="s">
        <v>682</v>
      </c>
      <c r="G82" s="142">
        <f>G44</f>
        <v>596.24662000000001</v>
      </c>
      <c r="H82" s="143">
        <f>H44</f>
        <v>36.1</v>
      </c>
      <c r="I82" s="87">
        <f>F44</f>
        <v>4.6300361445783125</v>
      </c>
      <c r="J82" s="161" t="s">
        <v>697</v>
      </c>
      <c r="K82" s="445"/>
    </row>
    <row r="83" spans="5:12" x14ac:dyDescent="0.25">
      <c r="F83" s="61" t="s">
        <v>683</v>
      </c>
      <c r="G83" s="126">
        <f>G52</f>
        <v>1114.0595114</v>
      </c>
      <c r="H83" s="113">
        <f>H52</f>
        <v>60.8523</v>
      </c>
      <c r="I83" s="61">
        <f>F52</f>
        <v>7.5348688235294112</v>
      </c>
      <c r="J83" s="160" t="s">
        <v>63</v>
      </c>
      <c r="K83" s="445"/>
    </row>
    <row r="84" spans="5:12" x14ac:dyDescent="0.25">
      <c r="F84" s="76" t="s">
        <v>684</v>
      </c>
      <c r="G84" s="123">
        <f>G62</f>
        <v>939.8539098</v>
      </c>
      <c r="H84" s="110">
        <f>H62</f>
        <v>52.222800000000007</v>
      </c>
      <c r="I84" s="76">
        <f>F62</f>
        <v>11.382770636363636</v>
      </c>
      <c r="J84" s="157" t="s">
        <v>44</v>
      </c>
      <c r="K84" s="445"/>
    </row>
    <row r="85" spans="5:12" x14ac:dyDescent="0.25">
      <c r="F85" s="76" t="s">
        <v>685</v>
      </c>
      <c r="G85" s="123">
        <f>G73</f>
        <v>1128.1084955000001</v>
      </c>
      <c r="H85" s="110">
        <f>H73</f>
        <v>55.717799999999997</v>
      </c>
      <c r="I85" s="76">
        <f>F73</f>
        <v>11.001315476190477</v>
      </c>
      <c r="J85" s="157" t="s">
        <v>707</v>
      </c>
      <c r="K85" s="445"/>
    </row>
    <row r="86" spans="5:12" x14ac:dyDescent="0.25">
      <c r="E86" s="75"/>
      <c r="F86" s="139"/>
      <c r="G86" s="166"/>
      <c r="H86" s="167"/>
      <c r="I86" s="139"/>
      <c r="J86" s="168"/>
      <c r="K86" s="139"/>
    </row>
    <row r="87" spans="5:12" ht="21" customHeight="1" x14ac:dyDescent="0.25">
      <c r="F87" s="146" t="s">
        <v>27</v>
      </c>
      <c r="G87" s="147" t="s">
        <v>28</v>
      </c>
      <c r="H87" s="148" t="s">
        <v>29</v>
      </c>
      <c r="I87" s="147" t="s">
        <v>699</v>
      </c>
      <c r="J87" s="148" t="s">
        <v>698</v>
      </c>
      <c r="K87" s="149" t="s">
        <v>676</v>
      </c>
      <c r="L87" s="149" t="s">
        <v>353</v>
      </c>
    </row>
    <row r="88" spans="5:12" x14ac:dyDescent="0.25">
      <c r="F88" s="74" t="s">
        <v>398</v>
      </c>
      <c r="G88" s="57" t="s">
        <v>121</v>
      </c>
      <c r="H88" s="74" t="s">
        <v>399</v>
      </c>
      <c r="I88" s="123" t="s">
        <v>693</v>
      </c>
      <c r="J88" s="110">
        <f>G82</f>
        <v>596.24662000000001</v>
      </c>
      <c r="K88" s="110">
        <f>H82</f>
        <v>36.1</v>
      </c>
      <c r="L88" s="76">
        <f>I82</f>
        <v>4.6300361445783125</v>
      </c>
    </row>
    <row r="89" spans="5:12" x14ac:dyDescent="0.25">
      <c r="F89" s="74" t="s">
        <v>399</v>
      </c>
      <c r="G89" s="57" t="s">
        <v>121</v>
      </c>
      <c r="H89" s="57" t="s">
        <v>122</v>
      </c>
      <c r="I89" s="123" t="s">
        <v>692</v>
      </c>
      <c r="J89" s="110">
        <f>G81+G83</f>
        <v>1813.0739562000001</v>
      </c>
      <c r="K89" s="110">
        <f>H81+H83</f>
        <v>91.872500000000002</v>
      </c>
      <c r="L89" s="110">
        <f>I81+I83</f>
        <v>11.833667843137254</v>
      </c>
    </row>
    <row r="90" spans="5:12" x14ac:dyDescent="0.25">
      <c r="F90" s="57" t="s">
        <v>123</v>
      </c>
      <c r="G90" s="57" t="s">
        <v>121</v>
      </c>
      <c r="H90" s="57" t="s">
        <v>122</v>
      </c>
      <c r="I90" s="123" t="s">
        <v>690</v>
      </c>
      <c r="J90" s="110">
        <f>G77+G79+G84</f>
        <v>2498.3484001000002</v>
      </c>
      <c r="K90" s="110">
        <f>H77+H79+H84</f>
        <v>108.623</v>
      </c>
      <c r="L90" s="110">
        <f>I77+I79+I84</f>
        <v>18.979589351637259</v>
      </c>
    </row>
    <row r="91" spans="5:12" x14ac:dyDescent="0.25">
      <c r="F91" s="57" t="s">
        <v>123</v>
      </c>
      <c r="G91" s="57" t="s">
        <v>121</v>
      </c>
      <c r="H91" s="57" t="s">
        <v>122</v>
      </c>
      <c r="I91" s="123" t="s">
        <v>688</v>
      </c>
      <c r="J91" s="110">
        <f>G76+G80+G85</f>
        <v>2568.4473460000004</v>
      </c>
      <c r="K91" s="110">
        <f>H76+H80+H85</f>
        <v>107.0012</v>
      </c>
      <c r="L91" s="110">
        <f>I76+I80+I85</f>
        <v>18.628142464561584</v>
      </c>
    </row>
    <row r="92" spans="5:12" x14ac:dyDescent="0.25">
      <c r="F92" s="57" t="s">
        <v>123</v>
      </c>
      <c r="G92" s="57" t="s">
        <v>121</v>
      </c>
      <c r="H92" s="57" t="s">
        <v>122</v>
      </c>
      <c r="I92" s="123" t="s">
        <v>689</v>
      </c>
      <c r="J92" s="110">
        <f>G78+G79+G83</f>
        <v>2674.0456932999996</v>
      </c>
      <c r="K92" s="110">
        <f>H78+H79+H83</f>
        <v>116.2355</v>
      </c>
      <c r="L92" s="110">
        <f>I78+I79+I83</f>
        <v>13.555870224089634</v>
      </c>
    </row>
    <row r="93" spans="5:12" x14ac:dyDescent="0.25">
      <c r="F93" s="57" t="s">
        <v>123</v>
      </c>
      <c r="G93" s="57" t="s">
        <v>121</v>
      </c>
      <c r="H93" s="74" t="s">
        <v>700</v>
      </c>
      <c r="I93" s="123" t="s">
        <v>691</v>
      </c>
      <c r="J93" s="110">
        <f>G76+G80</f>
        <v>1440.3388505000003</v>
      </c>
      <c r="K93" s="110">
        <f>H76+H80</f>
        <v>51.2834</v>
      </c>
      <c r="L93" s="110">
        <f>I76+I80</f>
        <v>7.6268269883711062</v>
      </c>
    </row>
    <row r="94" spans="5:12" x14ac:dyDescent="0.25">
      <c r="F94" s="40" t="s">
        <v>700</v>
      </c>
      <c r="G94" s="40" t="s">
        <v>397</v>
      </c>
      <c r="H94" s="40" t="s">
        <v>401</v>
      </c>
      <c r="I94" s="449"/>
      <c r="J94" s="450"/>
      <c r="K94" s="450"/>
      <c r="L94" s="451"/>
    </row>
    <row r="95" spans="5:12" x14ac:dyDescent="0.25">
      <c r="E95" s="133"/>
      <c r="F95" s="448" t="s">
        <v>686</v>
      </c>
      <c r="G95" s="448"/>
      <c r="H95" s="448"/>
      <c r="I95" s="123" t="s">
        <v>687</v>
      </c>
      <c r="J95" s="110">
        <f>G78+G82+G85</f>
        <v>2499.9274814</v>
      </c>
      <c r="K95" s="110">
        <f>H78+H82+H85</f>
        <v>115.321</v>
      </c>
      <c r="L95" s="110">
        <f>I78+I82+I85</f>
        <v>18.291768287435456</v>
      </c>
    </row>
  </sheetData>
  <mergeCells count="90">
    <mergeCell ref="K76:K85"/>
    <mergeCell ref="A1:J1"/>
    <mergeCell ref="P63:P73"/>
    <mergeCell ref="F95:H95"/>
    <mergeCell ref="I94:L94"/>
    <mergeCell ref="K72:L72"/>
    <mergeCell ref="C73:D73"/>
    <mergeCell ref="K10:L10"/>
    <mergeCell ref="A45:A73"/>
    <mergeCell ref="B63:B73"/>
    <mergeCell ref="C62:D62"/>
    <mergeCell ref="K63:L63"/>
    <mergeCell ref="K64:L64"/>
    <mergeCell ref="K65:L65"/>
    <mergeCell ref="K66:L66"/>
    <mergeCell ref="K67:L67"/>
    <mergeCell ref="K69:L69"/>
    <mergeCell ref="B53:B62"/>
    <mergeCell ref="K53:L53"/>
    <mergeCell ref="B45:B52"/>
    <mergeCell ref="K45:L45"/>
    <mergeCell ref="C52:D52"/>
    <mergeCell ref="P53:P62"/>
    <mergeCell ref="K54:L54"/>
    <mergeCell ref="K55:L55"/>
    <mergeCell ref="K56:L56"/>
    <mergeCell ref="K57:L57"/>
    <mergeCell ref="K58:L58"/>
    <mergeCell ref="K59:L59"/>
    <mergeCell ref="K60:L60"/>
    <mergeCell ref="P45:P52"/>
    <mergeCell ref="K46:L46"/>
    <mergeCell ref="K47:L47"/>
    <mergeCell ref="K48:L48"/>
    <mergeCell ref="K49:L49"/>
    <mergeCell ref="K50:L50"/>
    <mergeCell ref="P39:P44"/>
    <mergeCell ref="K40:L40"/>
    <mergeCell ref="K41:L41"/>
    <mergeCell ref="K42:L42"/>
    <mergeCell ref="C44:D44"/>
    <mergeCell ref="A21:A44"/>
    <mergeCell ref="B21:B25"/>
    <mergeCell ref="K21:L21"/>
    <mergeCell ref="C38:D38"/>
    <mergeCell ref="K27:L27"/>
    <mergeCell ref="K28:L28"/>
    <mergeCell ref="K29:L29"/>
    <mergeCell ref="C31:D31"/>
    <mergeCell ref="K33:L33"/>
    <mergeCell ref="K34:L34"/>
    <mergeCell ref="K35:L35"/>
    <mergeCell ref="K36:L36"/>
    <mergeCell ref="B39:B44"/>
    <mergeCell ref="K39:L39"/>
    <mergeCell ref="B26:B31"/>
    <mergeCell ref="K26:L26"/>
    <mergeCell ref="P26:P31"/>
    <mergeCell ref="B32:B38"/>
    <mergeCell ref="K32:L32"/>
    <mergeCell ref="P32:P38"/>
    <mergeCell ref="P16:P20"/>
    <mergeCell ref="K17:L17"/>
    <mergeCell ref="K18:L18"/>
    <mergeCell ref="C20:D20"/>
    <mergeCell ref="P21:P25"/>
    <mergeCell ref="K22:L22"/>
    <mergeCell ref="K23:L23"/>
    <mergeCell ref="C25:D25"/>
    <mergeCell ref="K12:L12"/>
    <mergeCell ref="K13:L13"/>
    <mergeCell ref="C15:D15"/>
    <mergeCell ref="B16:B20"/>
    <mergeCell ref="C16:C17"/>
    <mergeCell ref="A2:B2"/>
    <mergeCell ref="P2:Q2"/>
    <mergeCell ref="A3:A20"/>
    <mergeCell ref="B3:B8"/>
    <mergeCell ref="C3:C4"/>
    <mergeCell ref="K3:L3"/>
    <mergeCell ref="P3:P8"/>
    <mergeCell ref="K4:L4"/>
    <mergeCell ref="K5:L5"/>
    <mergeCell ref="K6:L6"/>
    <mergeCell ref="C8:D8"/>
    <mergeCell ref="B9:B15"/>
    <mergeCell ref="C9:C11"/>
    <mergeCell ref="K9:L9"/>
    <mergeCell ref="P9:P15"/>
    <mergeCell ref="K11:L1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9E723-AD95-42C1-8DF4-72846715E672}">
  <dimension ref="A1:S96"/>
  <sheetViews>
    <sheetView zoomScale="107" zoomScaleNormal="107" workbookViewId="0">
      <selection activeCell="H5" sqref="H5"/>
    </sheetView>
  </sheetViews>
  <sheetFormatPr defaultRowHeight="16.2" x14ac:dyDescent="0.25"/>
  <cols>
    <col min="1" max="1" width="5.109375" style="65" customWidth="1"/>
    <col min="2" max="2" width="9.88671875" style="96" customWidth="1"/>
    <col min="3" max="3" width="7.109375" style="2" customWidth="1"/>
    <col min="4" max="4" width="20.33203125" style="2" customWidth="1"/>
    <col min="5" max="5" width="12.5546875" style="2" customWidth="1"/>
    <col min="6" max="6" width="12" style="63" customWidth="1"/>
    <col min="7" max="7" width="13.21875" style="133" customWidth="1"/>
    <col min="8" max="8" width="12.21875" style="120" customWidth="1"/>
    <col min="9" max="9" width="11.109375" style="133" customWidth="1"/>
    <col min="10" max="10" width="13.21875" style="120" customWidth="1"/>
    <col min="11" max="11" width="31.77734375" style="63" customWidth="1"/>
    <col min="12" max="12" width="27.88671875" style="63" customWidth="1"/>
    <col min="13" max="13" width="9.33203125" style="63" customWidth="1"/>
    <col min="14" max="14" width="11.109375" style="63" customWidth="1"/>
    <col min="15" max="15" width="18" style="63" customWidth="1"/>
    <col min="16" max="16" width="14.21875" style="54" customWidth="1"/>
    <col min="17" max="17" width="54.6640625" style="1" customWidth="1"/>
    <col min="18" max="16384" width="8.88671875" style="1"/>
  </cols>
  <sheetData>
    <row r="1" spans="1:19" ht="55.95" customHeight="1" x14ac:dyDescent="0.25">
      <c r="A1" s="446" t="s">
        <v>979</v>
      </c>
      <c r="B1" s="447"/>
      <c r="C1" s="447"/>
      <c r="D1" s="447"/>
      <c r="E1" s="447"/>
      <c r="F1" s="447"/>
      <c r="G1" s="447"/>
      <c r="H1" s="447"/>
      <c r="I1" s="447"/>
      <c r="J1" s="447"/>
    </row>
    <row r="2" spans="1:19" s="198" customFormat="1" ht="25.8" customHeight="1" x14ac:dyDescent="0.25">
      <c r="A2" s="453" t="s">
        <v>364</v>
      </c>
      <c r="B2" s="454"/>
      <c r="C2" s="201" t="s">
        <v>70</v>
      </c>
      <c r="D2" s="202" t="s">
        <v>69</v>
      </c>
      <c r="E2" s="202" t="s">
        <v>354</v>
      </c>
      <c r="F2" s="206" t="s">
        <v>353</v>
      </c>
      <c r="G2" s="207" t="s">
        <v>639</v>
      </c>
      <c r="H2" s="208" t="s">
        <v>641</v>
      </c>
      <c r="I2" s="199" t="s">
        <v>640</v>
      </c>
      <c r="J2" s="200" t="s">
        <v>642</v>
      </c>
      <c r="K2" s="203" t="s">
        <v>411</v>
      </c>
      <c r="L2" s="204" t="s">
        <v>410</v>
      </c>
      <c r="M2" s="203" t="s">
        <v>408</v>
      </c>
      <c r="N2" s="203" t="s">
        <v>409</v>
      </c>
      <c r="O2" s="203" t="s">
        <v>133</v>
      </c>
      <c r="P2" s="455" t="s">
        <v>70</v>
      </c>
      <c r="Q2" s="456"/>
      <c r="R2" s="203" t="s">
        <v>808</v>
      </c>
      <c r="S2" s="205"/>
    </row>
    <row r="3" spans="1:19" ht="16.2" customHeight="1" x14ac:dyDescent="0.25">
      <c r="A3" s="400" t="s">
        <v>365</v>
      </c>
      <c r="B3" s="400" t="s">
        <v>373</v>
      </c>
      <c r="C3" s="432" t="s">
        <v>459</v>
      </c>
      <c r="D3" s="14" t="s">
        <v>38</v>
      </c>
      <c r="E3" s="14">
        <v>31.7</v>
      </c>
      <c r="F3" s="194">
        <f>N3/36</f>
        <v>0.98611111111111116</v>
      </c>
      <c r="G3" s="128">
        <f>I3*0.2389*E3/100</f>
        <v>137.45230949999998</v>
      </c>
      <c r="H3" s="115">
        <f>J3/100*E3</f>
        <v>5.3256000000000006</v>
      </c>
      <c r="I3" s="128">
        <v>1815</v>
      </c>
      <c r="J3" s="115">
        <v>16.8</v>
      </c>
      <c r="K3" s="442" t="s">
        <v>507</v>
      </c>
      <c r="L3" s="443"/>
      <c r="M3" s="194" t="s">
        <v>508</v>
      </c>
      <c r="N3" s="194">
        <f>21.9+13.6</f>
        <v>35.5</v>
      </c>
      <c r="O3" s="194" t="s">
        <v>319</v>
      </c>
      <c r="P3" s="419" t="s">
        <v>355</v>
      </c>
      <c r="Q3" s="150" t="s">
        <v>509</v>
      </c>
      <c r="R3" s="322" t="s">
        <v>989</v>
      </c>
    </row>
    <row r="4" spans="1:19" ht="15.6" customHeight="1" x14ac:dyDescent="0.25">
      <c r="A4" s="401"/>
      <c r="B4" s="401"/>
      <c r="C4" s="389"/>
      <c r="D4" s="185" t="s">
        <v>464</v>
      </c>
      <c r="E4" s="185">
        <v>62.5</v>
      </c>
      <c r="F4" s="187">
        <f>N4/16/3</f>
        <v>0.95416666666666661</v>
      </c>
      <c r="G4" s="190">
        <f>I4*0.2389*E4/100</f>
        <v>245.61906250000001</v>
      </c>
      <c r="H4" s="109">
        <f>J4/100*E4</f>
        <v>6.875</v>
      </c>
      <c r="I4" s="190">
        <v>1645</v>
      </c>
      <c r="J4" s="109">
        <v>11</v>
      </c>
      <c r="K4" s="392" t="s">
        <v>663</v>
      </c>
      <c r="L4" s="393"/>
      <c r="M4" s="187" t="s">
        <v>664</v>
      </c>
      <c r="N4" s="187">
        <f>29.9+15.9</f>
        <v>45.8</v>
      </c>
      <c r="O4" s="187" t="s">
        <v>465</v>
      </c>
      <c r="P4" s="419"/>
      <c r="Q4" s="13" t="s">
        <v>763</v>
      </c>
      <c r="R4" s="216" t="s">
        <v>809</v>
      </c>
    </row>
    <row r="5" spans="1:19" ht="15.6" customHeight="1" x14ac:dyDescent="0.25">
      <c r="A5" s="401"/>
      <c r="B5" s="401"/>
      <c r="C5" s="91" t="s">
        <v>458</v>
      </c>
      <c r="D5" s="185" t="s">
        <v>43</v>
      </c>
      <c r="E5" s="185">
        <v>50</v>
      </c>
      <c r="F5" s="187">
        <f>N5/16/2</f>
        <v>1.05</v>
      </c>
      <c r="G5" s="190">
        <f>I5*0.2389*E5/100</f>
        <v>256.69805000000002</v>
      </c>
      <c r="H5" s="109">
        <f>J5/100*E5</f>
        <v>5.05</v>
      </c>
      <c r="I5" s="190">
        <v>2149</v>
      </c>
      <c r="J5" s="109">
        <v>10.1</v>
      </c>
      <c r="K5" s="392" t="s">
        <v>495</v>
      </c>
      <c r="L5" s="393"/>
      <c r="M5" s="187" t="s">
        <v>463</v>
      </c>
      <c r="N5" s="187">
        <f>16.8*2</f>
        <v>33.6</v>
      </c>
      <c r="O5" s="187" t="s">
        <v>465</v>
      </c>
      <c r="P5" s="419"/>
      <c r="Q5" s="13" t="s">
        <v>770</v>
      </c>
      <c r="R5" s="216" t="s">
        <v>810</v>
      </c>
    </row>
    <row r="6" spans="1:19" ht="15.6" customHeight="1" x14ac:dyDescent="0.25">
      <c r="A6" s="401"/>
      <c r="B6" s="401"/>
      <c r="C6" s="91" t="s">
        <v>456</v>
      </c>
      <c r="D6" s="185" t="s">
        <v>94</v>
      </c>
      <c r="E6" s="185">
        <v>18.2</v>
      </c>
      <c r="F6" s="187">
        <f>N6/55</f>
        <v>0.39636363636363636</v>
      </c>
      <c r="G6" s="190">
        <f t="shared" ref="G6:G7" si="0">I6*0.2389*E6/100</f>
        <v>89.003150599999984</v>
      </c>
      <c r="H6" s="109">
        <f t="shared" ref="H6:H7" si="1">J6/100*E6</f>
        <v>1.2921999999999998</v>
      </c>
      <c r="I6" s="123">
        <v>2047</v>
      </c>
      <c r="J6" s="189">
        <v>7.1</v>
      </c>
      <c r="K6" s="392" t="s">
        <v>500</v>
      </c>
      <c r="L6" s="393"/>
      <c r="M6" s="187" t="s">
        <v>501</v>
      </c>
      <c r="N6" s="187">
        <v>21.8</v>
      </c>
      <c r="O6" s="187" t="s">
        <v>648</v>
      </c>
      <c r="P6" s="419"/>
      <c r="Q6" s="13" t="s">
        <v>510</v>
      </c>
      <c r="R6" s="216" t="s">
        <v>811</v>
      </c>
    </row>
    <row r="7" spans="1:19" ht="15.6" customHeight="1" x14ac:dyDescent="0.25">
      <c r="A7" s="401"/>
      <c r="B7" s="401"/>
      <c r="C7" s="91" t="s">
        <v>460</v>
      </c>
      <c r="D7" s="185" t="s">
        <v>708</v>
      </c>
      <c r="E7" s="185">
        <v>25</v>
      </c>
      <c r="F7" s="187">
        <v>0</v>
      </c>
      <c r="G7" s="190">
        <f t="shared" si="0"/>
        <v>42.285299999999999</v>
      </c>
      <c r="H7" s="109">
        <f t="shared" si="1"/>
        <v>8.4749999999999996</v>
      </c>
      <c r="I7" s="123">
        <v>708</v>
      </c>
      <c r="J7" s="189">
        <v>33.9</v>
      </c>
      <c r="K7" s="187"/>
      <c r="L7" s="187"/>
      <c r="M7" s="187"/>
      <c r="N7" s="187"/>
      <c r="O7" s="187"/>
      <c r="P7" s="419"/>
      <c r="Q7" s="13"/>
    </row>
    <row r="8" spans="1:19" ht="16.2" customHeight="1" thickBot="1" x14ac:dyDescent="0.3">
      <c r="A8" s="401"/>
      <c r="B8" s="404"/>
      <c r="C8" s="387" t="s">
        <v>356</v>
      </c>
      <c r="D8" s="384"/>
      <c r="E8" s="97">
        <f>SUM(E3:E7)</f>
        <v>187.39999999999998</v>
      </c>
      <c r="F8" s="98">
        <f>SUM(F3:F7)</f>
        <v>3.3866414141414145</v>
      </c>
      <c r="G8" s="124">
        <f t="shared" ref="G8:H8" si="2">SUM(G3:G7)</f>
        <v>771.05787260000011</v>
      </c>
      <c r="H8" s="111">
        <f t="shared" si="2"/>
        <v>27.017800000000001</v>
      </c>
      <c r="I8" s="124"/>
      <c r="J8" s="111"/>
      <c r="K8" s="59"/>
      <c r="L8" s="59"/>
      <c r="M8" s="59"/>
      <c r="N8" s="59">
        <f>SUM(N3:N7)</f>
        <v>136.70000000000002</v>
      </c>
      <c r="O8" s="59"/>
      <c r="P8" s="420"/>
      <c r="Q8" s="151"/>
    </row>
    <row r="9" spans="1:19" ht="15.6" x14ac:dyDescent="0.25">
      <c r="A9" s="401"/>
      <c r="B9" s="405" t="s">
        <v>374</v>
      </c>
      <c r="C9" s="397" t="s">
        <v>459</v>
      </c>
      <c r="D9" s="16" t="s">
        <v>146</v>
      </c>
      <c r="E9" s="16">
        <v>30</v>
      </c>
      <c r="F9" s="60">
        <f>N9/50</f>
        <v>1.032</v>
      </c>
      <c r="G9" s="125">
        <f>I9*0.2389/100*E9</f>
        <v>121.839</v>
      </c>
      <c r="H9" s="112">
        <f>J9/100*E9</f>
        <v>5.3999999999999995</v>
      </c>
      <c r="I9" s="125">
        <v>1700</v>
      </c>
      <c r="J9" s="112">
        <v>18</v>
      </c>
      <c r="K9" s="394" t="s">
        <v>762</v>
      </c>
      <c r="L9" s="395"/>
      <c r="M9" s="60" t="s">
        <v>422</v>
      </c>
      <c r="N9" s="60">
        <f>21.8+29.8</f>
        <v>51.6</v>
      </c>
      <c r="O9" s="60" t="s">
        <v>505</v>
      </c>
      <c r="P9" s="421" t="s">
        <v>807</v>
      </c>
      <c r="Q9" s="152" t="s">
        <v>704</v>
      </c>
      <c r="R9" s="216" t="s">
        <v>812</v>
      </c>
    </row>
    <row r="10" spans="1:19" ht="15.6" x14ac:dyDescent="0.25">
      <c r="A10" s="401"/>
      <c r="B10" s="407"/>
      <c r="C10" s="432"/>
      <c r="D10" s="14" t="s">
        <v>662</v>
      </c>
      <c r="E10" s="14">
        <v>62.5</v>
      </c>
      <c r="F10" s="196">
        <f>F4</f>
        <v>0.95416666666666661</v>
      </c>
      <c r="G10" s="126">
        <f t="shared" ref="G10:H10" si="3">G4</f>
        <v>245.61906250000001</v>
      </c>
      <c r="H10" s="113">
        <f t="shared" si="3"/>
        <v>6.875</v>
      </c>
      <c r="I10" s="128"/>
      <c r="J10" s="115"/>
      <c r="K10" s="392" t="s">
        <v>665</v>
      </c>
      <c r="L10" s="393"/>
      <c r="M10" s="191"/>
      <c r="N10" s="191"/>
      <c r="O10" s="191"/>
      <c r="P10" s="433"/>
      <c r="Q10" s="13"/>
    </row>
    <row r="11" spans="1:19" ht="15.6" x14ac:dyDescent="0.25">
      <c r="A11" s="401"/>
      <c r="B11" s="401"/>
      <c r="C11" s="389"/>
      <c r="D11" s="185" t="s">
        <v>357</v>
      </c>
      <c r="E11" s="185">
        <v>40</v>
      </c>
      <c r="F11" s="196">
        <f>N11/16</f>
        <v>0.92812499999999998</v>
      </c>
      <c r="G11" s="190">
        <f>I11*0.2389*E11/100</f>
        <v>145.53788</v>
      </c>
      <c r="H11" s="109">
        <f>J11/100*E11</f>
        <v>2.8760000000000003</v>
      </c>
      <c r="I11" s="190">
        <v>1523</v>
      </c>
      <c r="J11" s="109">
        <v>7.19</v>
      </c>
      <c r="K11" s="392" t="s">
        <v>666</v>
      </c>
      <c r="L11" s="393"/>
      <c r="M11" s="187" t="s">
        <v>667</v>
      </c>
      <c r="N11" s="187">
        <v>14.85</v>
      </c>
      <c r="O11" s="187" t="s">
        <v>319</v>
      </c>
      <c r="P11" s="422"/>
      <c r="Q11" s="13" t="s">
        <v>764</v>
      </c>
      <c r="R11" s="216" t="s">
        <v>813</v>
      </c>
    </row>
    <row r="12" spans="1:19" ht="15.6" x14ac:dyDescent="0.25">
      <c r="A12" s="401"/>
      <c r="B12" s="401"/>
      <c r="C12" s="102" t="s">
        <v>457</v>
      </c>
      <c r="D12" s="185" t="s">
        <v>206</v>
      </c>
      <c r="E12" s="185">
        <v>20</v>
      </c>
      <c r="F12" s="187">
        <f>N12/83</f>
        <v>0.4795180722891566</v>
      </c>
      <c r="G12" s="190">
        <f>I12*0.2389*E12/100</f>
        <v>83.75833999999999</v>
      </c>
      <c r="H12" s="109">
        <f>J12/100*E12</f>
        <v>1.5</v>
      </c>
      <c r="I12" s="190">
        <v>1753</v>
      </c>
      <c r="J12" s="109">
        <v>7.5</v>
      </c>
      <c r="K12" s="392" t="s">
        <v>537</v>
      </c>
      <c r="L12" s="393"/>
      <c r="M12" s="187" t="s">
        <v>538</v>
      </c>
      <c r="N12" s="187">
        <f>29.9+9.9</f>
        <v>39.799999999999997</v>
      </c>
      <c r="O12" s="187" t="s">
        <v>465</v>
      </c>
      <c r="P12" s="422"/>
      <c r="Q12" s="13" t="s">
        <v>765</v>
      </c>
      <c r="R12" s="216" t="s">
        <v>814</v>
      </c>
    </row>
    <row r="13" spans="1:19" ht="15.6" x14ac:dyDescent="0.25">
      <c r="A13" s="401"/>
      <c r="B13" s="401"/>
      <c r="C13" s="102" t="s">
        <v>616</v>
      </c>
      <c r="D13" s="185" t="s">
        <v>87</v>
      </c>
      <c r="E13" s="185">
        <v>25.4</v>
      </c>
      <c r="F13" s="187">
        <f>N13/66*4</f>
        <v>0.84242424242424241</v>
      </c>
      <c r="G13" s="190">
        <f>I13*0.2389*E13/100</f>
        <v>142.78145179999999</v>
      </c>
      <c r="H13" s="109">
        <f>J13/100*E13</f>
        <v>1.8541999999999998</v>
      </c>
      <c r="I13" s="190">
        <v>2353</v>
      </c>
      <c r="J13" s="109">
        <v>7.3</v>
      </c>
      <c r="K13" s="392" t="s">
        <v>514</v>
      </c>
      <c r="L13" s="393"/>
      <c r="M13" s="187" t="s">
        <v>513</v>
      </c>
      <c r="N13" s="187">
        <v>13.9</v>
      </c>
      <c r="O13" s="187" t="s">
        <v>558</v>
      </c>
      <c r="P13" s="422"/>
      <c r="Q13" s="13" t="s">
        <v>766</v>
      </c>
    </row>
    <row r="14" spans="1:19" ht="15.6" x14ac:dyDescent="0.25">
      <c r="A14" s="401"/>
      <c r="B14" s="401"/>
      <c r="C14" s="102" t="s">
        <v>460</v>
      </c>
      <c r="D14" s="185" t="s">
        <v>708</v>
      </c>
      <c r="E14" s="185">
        <v>25</v>
      </c>
      <c r="F14" s="187">
        <v>0</v>
      </c>
      <c r="G14" s="123">
        <f>G7</f>
        <v>42.285299999999999</v>
      </c>
      <c r="H14" s="189">
        <f>H7</f>
        <v>8.4749999999999996</v>
      </c>
      <c r="I14" s="123"/>
      <c r="J14" s="189"/>
      <c r="K14" s="187"/>
      <c r="L14" s="187"/>
      <c r="M14" s="187"/>
      <c r="N14" s="187"/>
      <c r="O14" s="187"/>
      <c r="P14" s="422"/>
      <c r="Q14" s="13"/>
    </row>
    <row r="15" spans="1:19" ht="16.8" thickBot="1" x14ac:dyDescent="0.3">
      <c r="A15" s="401"/>
      <c r="B15" s="404"/>
      <c r="C15" s="387" t="s">
        <v>356</v>
      </c>
      <c r="D15" s="384"/>
      <c r="E15" s="97">
        <f>SUM(E9:E14)</f>
        <v>202.9</v>
      </c>
      <c r="F15" s="98">
        <f>SUM(F9:F14)</f>
        <v>4.2362339813800656</v>
      </c>
      <c r="G15" s="124">
        <f t="shared" ref="G15:H15" si="4">SUM(G9:G14)</f>
        <v>781.82103429999995</v>
      </c>
      <c r="H15" s="111">
        <f t="shared" si="4"/>
        <v>26.980199999999996</v>
      </c>
      <c r="I15" s="124"/>
      <c r="J15" s="111"/>
      <c r="K15" s="59"/>
      <c r="L15" s="59"/>
      <c r="M15" s="59"/>
      <c r="N15" s="59">
        <f>SUM(N9:N14)</f>
        <v>120.15</v>
      </c>
      <c r="O15" s="59"/>
      <c r="P15" s="423"/>
      <c r="Q15" s="151"/>
    </row>
    <row r="16" spans="1:19" ht="15.6" x14ac:dyDescent="0.25">
      <c r="A16" s="401"/>
      <c r="B16" s="405" t="s">
        <v>386</v>
      </c>
      <c r="C16" s="388" t="s">
        <v>617</v>
      </c>
      <c r="D16" s="16" t="s">
        <v>37</v>
      </c>
      <c r="E16" s="16">
        <v>40</v>
      </c>
      <c r="F16" s="60">
        <v>0</v>
      </c>
      <c r="G16" s="144">
        <f>I16*0.2389/100*E16</f>
        <v>183.09296000000001</v>
      </c>
      <c r="H16" s="138">
        <f>J16/100*E16</f>
        <v>1.7999999999999998</v>
      </c>
      <c r="I16" s="144">
        <v>1916</v>
      </c>
      <c r="J16" s="138">
        <v>4.5</v>
      </c>
      <c r="K16" s="60"/>
      <c r="L16" s="60"/>
      <c r="M16" s="60"/>
      <c r="N16" s="60"/>
      <c r="O16" s="60"/>
      <c r="P16" s="435" t="s">
        <v>361</v>
      </c>
      <c r="Q16" s="152" t="s">
        <v>767</v>
      </c>
    </row>
    <row r="17" spans="1:18" ht="15.6" x14ac:dyDescent="0.25">
      <c r="A17" s="401"/>
      <c r="B17" s="401"/>
      <c r="C17" s="389"/>
      <c r="D17" s="185" t="s">
        <v>42</v>
      </c>
      <c r="E17" s="185">
        <v>93.8</v>
      </c>
      <c r="F17" s="187">
        <f>N17/16/2</f>
        <v>1.71875</v>
      </c>
      <c r="G17" s="126">
        <f t="shared" ref="G17:G18" si="5">I17*0.2389/100*E17</f>
        <v>382.51855739999996</v>
      </c>
      <c r="H17" s="113">
        <f t="shared" ref="H17:H18" si="6">J17/100*E17</f>
        <v>10.693200000000001</v>
      </c>
      <c r="I17" s="190">
        <v>1707</v>
      </c>
      <c r="J17" s="109">
        <v>11.4</v>
      </c>
      <c r="K17" s="392" t="s">
        <v>517</v>
      </c>
      <c r="L17" s="393"/>
      <c r="M17" s="187" t="s">
        <v>518</v>
      </c>
      <c r="N17" s="187">
        <v>55</v>
      </c>
      <c r="O17" s="187" t="s">
        <v>519</v>
      </c>
      <c r="P17" s="425"/>
      <c r="Q17" s="13" t="s">
        <v>768</v>
      </c>
      <c r="R17" s="216" t="s">
        <v>815</v>
      </c>
    </row>
    <row r="18" spans="1:18" ht="15.6" x14ac:dyDescent="0.25">
      <c r="A18" s="401"/>
      <c r="B18" s="401"/>
      <c r="C18" s="102" t="s">
        <v>618</v>
      </c>
      <c r="D18" s="185" t="s">
        <v>476</v>
      </c>
      <c r="E18" s="185">
        <v>55.5</v>
      </c>
      <c r="F18" s="187">
        <f>N18/36</f>
        <v>0.94166666666666665</v>
      </c>
      <c r="G18" s="126">
        <f t="shared" si="5"/>
        <v>175.4159085</v>
      </c>
      <c r="H18" s="113">
        <f t="shared" si="6"/>
        <v>4.9950000000000001</v>
      </c>
      <c r="I18" s="190">
        <v>1323</v>
      </c>
      <c r="J18" s="109">
        <v>9</v>
      </c>
      <c r="K18" s="392" t="s">
        <v>474</v>
      </c>
      <c r="L18" s="393"/>
      <c r="M18" s="187" t="s">
        <v>425</v>
      </c>
      <c r="N18" s="187">
        <v>33.9</v>
      </c>
      <c r="O18" s="187" t="s">
        <v>465</v>
      </c>
      <c r="P18" s="425"/>
      <c r="Q18" s="13" t="s">
        <v>477</v>
      </c>
      <c r="R18" s="216" t="s">
        <v>816</v>
      </c>
    </row>
    <row r="19" spans="1:18" ht="15.6" x14ac:dyDescent="0.25">
      <c r="A19" s="401"/>
      <c r="B19" s="401"/>
      <c r="C19" s="102" t="s">
        <v>460</v>
      </c>
      <c r="D19" s="185" t="s">
        <v>708</v>
      </c>
      <c r="E19" s="185">
        <v>25</v>
      </c>
      <c r="F19" s="187">
        <v>0</v>
      </c>
      <c r="G19" s="123">
        <f>G7</f>
        <v>42.285299999999999</v>
      </c>
      <c r="H19" s="189">
        <f>H7</f>
        <v>8.4749999999999996</v>
      </c>
      <c r="I19" s="123"/>
      <c r="J19" s="189"/>
      <c r="K19" s="187"/>
      <c r="L19" s="187"/>
      <c r="M19" s="187"/>
      <c r="N19" s="187"/>
      <c r="O19" s="187"/>
      <c r="P19" s="425"/>
      <c r="Q19" s="13"/>
    </row>
    <row r="20" spans="1:18" ht="16.8" thickBot="1" x14ac:dyDescent="0.3">
      <c r="A20" s="402"/>
      <c r="B20" s="402"/>
      <c r="C20" s="390" t="s">
        <v>356</v>
      </c>
      <c r="D20" s="391"/>
      <c r="E20" s="99">
        <f>SUM(E16:E19)</f>
        <v>214.3</v>
      </c>
      <c r="F20" s="100">
        <f>SUM(F16:F19)</f>
        <v>2.6604166666666664</v>
      </c>
      <c r="G20" s="141">
        <f t="shared" ref="G20:H20" si="7">SUM(G16:G19)</f>
        <v>783.31272589999992</v>
      </c>
      <c r="H20" s="135">
        <f t="shared" si="7"/>
        <v>25.963200000000001</v>
      </c>
      <c r="I20" s="141"/>
      <c r="J20" s="135"/>
      <c r="K20" s="156"/>
      <c r="L20" s="156"/>
      <c r="M20" s="156"/>
      <c r="N20" s="156">
        <f>SUM(N17:N19)</f>
        <v>88.9</v>
      </c>
      <c r="O20" s="156"/>
      <c r="P20" s="426"/>
      <c r="Q20" s="155"/>
    </row>
    <row r="21" spans="1:18" thickTop="1" x14ac:dyDescent="0.25">
      <c r="A21" s="436" t="s">
        <v>372</v>
      </c>
      <c r="B21" s="407" t="s">
        <v>375</v>
      </c>
      <c r="C21" s="188" t="s">
        <v>618</v>
      </c>
      <c r="D21" s="14" t="s">
        <v>366</v>
      </c>
      <c r="E21" s="14">
        <v>100</v>
      </c>
      <c r="F21" s="191">
        <f>N21/35</f>
        <v>1.4942857142857144</v>
      </c>
      <c r="G21" s="126">
        <f>I21*0.2389/100*E21</f>
        <v>397.05180000000001</v>
      </c>
      <c r="H21" s="115">
        <f>J21/100*E21</f>
        <v>8.5</v>
      </c>
      <c r="I21" s="126">
        <v>1662</v>
      </c>
      <c r="J21" s="113">
        <v>8.5</v>
      </c>
      <c r="K21" s="437" t="s">
        <v>469</v>
      </c>
      <c r="L21" s="437"/>
      <c r="M21" s="191" t="s">
        <v>468</v>
      </c>
      <c r="N21" s="191">
        <f>14.8*3+7.9</f>
        <v>52.300000000000004</v>
      </c>
      <c r="O21" s="191" t="s">
        <v>465</v>
      </c>
      <c r="P21" s="414"/>
      <c r="Q21" s="150" t="s">
        <v>473</v>
      </c>
      <c r="R21" s="216" t="s">
        <v>817</v>
      </c>
    </row>
    <row r="22" spans="1:18" ht="15.6" x14ac:dyDescent="0.25">
      <c r="A22" s="401"/>
      <c r="B22" s="401"/>
      <c r="C22" s="102" t="s">
        <v>458</v>
      </c>
      <c r="D22" s="185" t="s">
        <v>367</v>
      </c>
      <c r="E22" s="185">
        <v>50</v>
      </c>
      <c r="F22" s="187">
        <f>N22/48</f>
        <v>0.99374999999999991</v>
      </c>
      <c r="G22" s="190">
        <f>G5</f>
        <v>256.69805000000002</v>
      </c>
      <c r="H22" s="109">
        <f>H5</f>
        <v>5.05</v>
      </c>
      <c r="I22" s="123"/>
      <c r="J22" s="189"/>
      <c r="K22" s="392" t="s">
        <v>771</v>
      </c>
      <c r="L22" s="393"/>
      <c r="M22" s="187" t="s">
        <v>496</v>
      </c>
      <c r="N22" s="187">
        <f>38.8+8.9</f>
        <v>47.699999999999996</v>
      </c>
      <c r="O22" s="187" t="s">
        <v>465</v>
      </c>
      <c r="P22" s="414"/>
      <c r="Q22" s="13" t="s">
        <v>769</v>
      </c>
      <c r="R22" s="216" t="s">
        <v>818</v>
      </c>
    </row>
    <row r="23" spans="1:18" ht="15.6" x14ac:dyDescent="0.25">
      <c r="A23" s="401"/>
      <c r="B23" s="401"/>
      <c r="C23" s="102" t="s">
        <v>619</v>
      </c>
      <c r="D23" s="185" t="s">
        <v>525</v>
      </c>
      <c r="E23" s="185">
        <v>28</v>
      </c>
      <c r="F23" s="187">
        <f>F28</f>
        <v>0.84705882352941175</v>
      </c>
      <c r="G23" s="126">
        <f>G28</f>
        <v>61.574086000000001</v>
      </c>
      <c r="H23" s="113">
        <f>H28</f>
        <v>6.3</v>
      </c>
      <c r="I23" s="190"/>
      <c r="J23" s="109"/>
      <c r="K23" s="392" t="s">
        <v>529</v>
      </c>
      <c r="L23" s="393"/>
      <c r="M23" s="187"/>
      <c r="N23" s="187"/>
      <c r="O23" s="187"/>
      <c r="P23" s="414"/>
      <c r="Q23" s="13"/>
    </row>
    <row r="24" spans="1:18" ht="15.6" x14ac:dyDescent="0.25">
      <c r="A24" s="401"/>
      <c r="B24" s="401"/>
      <c r="C24" s="102" t="s">
        <v>460</v>
      </c>
      <c r="D24" s="185" t="s">
        <v>47</v>
      </c>
      <c r="E24" s="185">
        <v>30</v>
      </c>
      <c r="F24" s="187">
        <v>0</v>
      </c>
      <c r="G24" s="190">
        <f t="shared" ref="G24" si="8">I24*0.2389*E24/100</f>
        <v>69.089880000000008</v>
      </c>
      <c r="H24" s="109">
        <f t="shared" ref="H24" si="9">J24/100*E24</f>
        <v>12.030000000000001</v>
      </c>
      <c r="I24" s="123">
        <v>964</v>
      </c>
      <c r="J24" s="189">
        <v>40.1</v>
      </c>
      <c r="K24" s="187"/>
      <c r="L24" s="187"/>
      <c r="M24" s="187"/>
      <c r="N24" s="187"/>
      <c r="O24" s="187"/>
      <c r="P24" s="414"/>
      <c r="Q24" s="13"/>
    </row>
    <row r="25" spans="1:18" ht="16.8" thickBot="1" x14ac:dyDescent="0.3">
      <c r="A25" s="401"/>
      <c r="B25" s="404"/>
      <c r="C25" s="383" t="s">
        <v>356</v>
      </c>
      <c r="D25" s="384"/>
      <c r="E25" s="97">
        <f>SUM(E21:E24)</f>
        <v>208</v>
      </c>
      <c r="F25" s="98">
        <f>SUM(F21:F24)</f>
        <v>3.335094537815126</v>
      </c>
      <c r="G25" s="124">
        <f t="shared" ref="G25:H25" si="10">SUM(G21:G24)</f>
        <v>784.413816</v>
      </c>
      <c r="H25" s="111">
        <f t="shared" si="10"/>
        <v>31.880000000000003</v>
      </c>
      <c r="I25" s="130"/>
      <c r="J25" s="117"/>
      <c r="K25" s="78"/>
      <c r="L25" s="78"/>
      <c r="M25" s="78"/>
      <c r="N25" s="78">
        <f>SUM(N21:N24)</f>
        <v>100</v>
      </c>
      <c r="O25" s="78"/>
      <c r="P25" s="415"/>
      <c r="Q25" s="151"/>
    </row>
    <row r="26" spans="1:18" ht="15.6" x14ac:dyDescent="0.25">
      <c r="A26" s="401"/>
      <c r="B26" s="405" t="s">
        <v>376</v>
      </c>
      <c r="C26" s="104" t="s">
        <v>618</v>
      </c>
      <c r="D26" s="16" t="s">
        <v>249</v>
      </c>
      <c r="E26" s="16">
        <v>80</v>
      </c>
      <c r="F26" s="60">
        <f>N26/35</f>
        <v>1.7628571428571427</v>
      </c>
      <c r="G26" s="125">
        <f>I26*0.2389/100*E26</f>
        <v>303.49856</v>
      </c>
      <c r="H26" s="112">
        <f>J26/100*E26</f>
        <v>6.6400000000000006</v>
      </c>
      <c r="I26" s="125">
        <v>1588</v>
      </c>
      <c r="J26" s="112">
        <v>8.3000000000000007</v>
      </c>
      <c r="K26" s="394" t="s">
        <v>490</v>
      </c>
      <c r="L26" s="395"/>
      <c r="M26" s="60" t="s">
        <v>491</v>
      </c>
      <c r="N26" s="60">
        <f>33.9+17.9+9.9</f>
        <v>61.699999999999996</v>
      </c>
      <c r="O26" s="60" t="s">
        <v>465</v>
      </c>
      <c r="P26" s="416"/>
      <c r="Q26" s="152" t="s">
        <v>492</v>
      </c>
      <c r="R26" s="216" t="s">
        <v>819</v>
      </c>
    </row>
    <row r="27" spans="1:18" ht="15.6" x14ac:dyDescent="0.25">
      <c r="A27" s="401"/>
      <c r="B27" s="401"/>
      <c r="C27" s="102" t="s">
        <v>618</v>
      </c>
      <c r="D27" s="185" t="s">
        <v>369</v>
      </c>
      <c r="E27" s="185">
        <v>30</v>
      </c>
      <c r="F27" s="187">
        <f>N27/34</f>
        <v>0.67352941176470582</v>
      </c>
      <c r="G27" s="128">
        <f t="shared" ref="G27:G29" si="11">I27*0.2389/100*E27</f>
        <v>133.16285999999999</v>
      </c>
      <c r="H27" s="115">
        <f t="shared" ref="H27:H29" si="12">J27/100*E27</f>
        <v>1.38</v>
      </c>
      <c r="I27" s="190">
        <v>1858</v>
      </c>
      <c r="J27" s="109">
        <v>4.5999999999999996</v>
      </c>
      <c r="K27" s="392" t="s">
        <v>522</v>
      </c>
      <c r="L27" s="393"/>
      <c r="M27" s="187" t="s">
        <v>501</v>
      </c>
      <c r="N27" s="187">
        <v>22.9</v>
      </c>
      <c r="O27" s="187" t="s">
        <v>511</v>
      </c>
      <c r="P27" s="414"/>
      <c r="Q27" s="13" t="s">
        <v>774</v>
      </c>
      <c r="R27" s="216" t="s">
        <v>820</v>
      </c>
    </row>
    <row r="28" spans="1:18" ht="15.6" x14ac:dyDescent="0.25">
      <c r="A28" s="401"/>
      <c r="B28" s="401"/>
      <c r="C28" s="102" t="s">
        <v>619</v>
      </c>
      <c r="D28" s="185" t="s">
        <v>525</v>
      </c>
      <c r="E28" s="185">
        <v>28</v>
      </c>
      <c r="F28" s="187">
        <f>N28/5/17</f>
        <v>0.84705882352941175</v>
      </c>
      <c r="G28" s="128">
        <f>G42/60*28</f>
        <v>61.574086000000001</v>
      </c>
      <c r="H28" s="115">
        <f>H42/60*28</f>
        <v>6.3</v>
      </c>
      <c r="I28" s="190"/>
      <c r="J28" s="109"/>
      <c r="K28" s="392" t="s">
        <v>772</v>
      </c>
      <c r="L28" s="393"/>
      <c r="M28" s="187" t="s">
        <v>169</v>
      </c>
      <c r="N28" s="187">
        <v>72</v>
      </c>
      <c r="O28" s="187" t="s">
        <v>309</v>
      </c>
      <c r="P28" s="414"/>
      <c r="Q28" s="13" t="s">
        <v>773</v>
      </c>
      <c r="R28" s="216" t="s">
        <v>821</v>
      </c>
    </row>
    <row r="29" spans="1:18" ht="15.6" x14ac:dyDescent="0.25">
      <c r="A29" s="401"/>
      <c r="B29" s="401"/>
      <c r="C29" s="102" t="s">
        <v>619</v>
      </c>
      <c r="D29" s="185" t="s">
        <v>22</v>
      </c>
      <c r="E29" s="185">
        <v>31.3</v>
      </c>
      <c r="F29" s="187">
        <f>N29/16/2</f>
        <v>0.93125000000000002</v>
      </c>
      <c r="G29" s="128">
        <f t="shared" si="11"/>
        <v>109.6959519</v>
      </c>
      <c r="H29" s="115">
        <f t="shared" si="12"/>
        <v>0.37559999999999999</v>
      </c>
      <c r="I29" s="190">
        <v>1467</v>
      </c>
      <c r="J29" s="109">
        <v>1.2</v>
      </c>
      <c r="K29" s="392" t="s">
        <v>494</v>
      </c>
      <c r="L29" s="393"/>
      <c r="M29" s="187" t="s">
        <v>421</v>
      </c>
      <c r="N29" s="187">
        <v>29.8</v>
      </c>
      <c r="O29" s="187" t="s">
        <v>436</v>
      </c>
      <c r="P29" s="414"/>
      <c r="Q29" s="13" t="s">
        <v>775</v>
      </c>
      <c r="R29" s="216" t="s">
        <v>822</v>
      </c>
    </row>
    <row r="30" spans="1:18" ht="15.6" x14ac:dyDescent="0.25">
      <c r="A30" s="401"/>
      <c r="B30" s="401"/>
      <c r="C30" s="102" t="s">
        <v>460</v>
      </c>
      <c r="D30" s="185" t="s">
        <v>47</v>
      </c>
      <c r="E30" s="185">
        <v>30</v>
      </c>
      <c r="F30" s="187">
        <v>0</v>
      </c>
      <c r="G30" s="123">
        <f>G24</f>
        <v>69.089880000000008</v>
      </c>
      <c r="H30" s="189">
        <f>H24</f>
        <v>12.030000000000001</v>
      </c>
      <c r="I30" s="123"/>
      <c r="J30" s="189"/>
      <c r="K30" s="187"/>
      <c r="L30" s="187"/>
      <c r="M30" s="187"/>
      <c r="N30" s="187"/>
      <c r="O30" s="187"/>
      <c r="P30" s="414"/>
      <c r="Q30" s="13"/>
    </row>
    <row r="31" spans="1:18" ht="16.8" thickBot="1" x14ac:dyDescent="0.3">
      <c r="A31" s="401"/>
      <c r="B31" s="404"/>
      <c r="C31" s="383" t="s">
        <v>356</v>
      </c>
      <c r="D31" s="384"/>
      <c r="E31" s="97">
        <f>SUM(E26:E30)</f>
        <v>199.3</v>
      </c>
      <c r="F31" s="98">
        <f>SUM(F26:F30)</f>
        <v>4.2146953781512604</v>
      </c>
      <c r="G31" s="124">
        <f t="shared" ref="G31:H31" si="13">SUM(G26:G30)</f>
        <v>677.02133790000005</v>
      </c>
      <c r="H31" s="111">
        <f t="shared" si="13"/>
        <v>26.7256</v>
      </c>
      <c r="I31" s="130"/>
      <c r="J31" s="117"/>
      <c r="K31" s="80"/>
      <c r="L31" s="80"/>
      <c r="M31" s="80"/>
      <c r="N31" s="78">
        <f>SUM(N26:N30)</f>
        <v>186.4</v>
      </c>
      <c r="O31" s="80"/>
      <c r="P31" s="415"/>
      <c r="Q31" s="151"/>
    </row>
    <row r="32" spans="1:18" ht="15.6" x14ac:dyDescent="0.25">
      <c r="A32" s="401"/>
      <c r="B32" s="405" t="s">
        <v>377</v>
      </c>
      <c r="C32" s="104" t="s">
        <v>618</v>
      </c>
      <c r="D32" s="16" t="s">
        <v>470</v>
      </c>
      <c r="E32" s="16">
        <v>50</v>
      </c>
      <c r="F32" s="60">
        <f>N32/16</f>
        <v>1.1125</v>
      </c>
      <c r="G32" s="144">
        <f>I32*0.2389/100*E32</f>
        <v>160.54079999999999</v>
      </c>
      <c r="H32" s="138">
        <f>J32/100*E32</f>
        <v>4.45</v>
      </c>
      <c r="I32" s="153">
        <v>1344</v>
      </c>
      <c r="J32" s="154">
        <v>8.9</v>
      </c>
      <c r="K32" s="434" t="s">
        <v>471</v>
      </c>
      <c r="L32" s="434"/>
      <c r="M32" s="192" t="s">
        <v>472</v>
      </c>
      <c r="N32" s="192">
        <v>17.8</v>
      </c>
      <c r="O32" s="192" t="s">
        <v>465</v>
      </c>
      <c r="P32" s="416"/>
      <c r="Q32" s="152" t="s">
        <v>776</v>
      </c>
      <c r="R32" s="216" t="s">
        <v>823</v>
      </c>
    </row>
    <row r="33" spans="1:18" ht="15.6" x14ac:dyDescent="0.25">
      <c r="A33" s="401"/>
      <c r="B33" s="401"/>
      <c r="C33" s="102" t="s">
        <v>618</v>
      </c>
      <c r="D33" s="185" t="s">
        <v>479</v>
      </c>
      <c r="E33" s="185">
        <v>41.6</v>
      </c>
      <c r="F33" s="187">
        <f>N33/24</f>
        <v>0.82500000000000007</v>
      </c>
      <c r="G33" s="123">
        <f>I33*0.2389/100*E33</f>
        <v>147.78162880000002</v>
      </c>
      <c r="H33" s="189">
        <f>J33/100*E33</f>
        <v>2.9952000000000005</v>
      </c>
      <c r="I33" s="190">
        <v>1487</v>
      </c>
      <c r="J33" s="109">
        <v>7.2</v>
      </c>
      <c r="K33" s="392" t="s">
        <v>480</v>
      </c>
      <c r="L33" s="393"/>
      <c r="M33" s="187" t="s">
        <v>421</v>
      </c>
      <c r="N33" s="187">
        <f>9.9*2</f>
        <v>19.8</v>
      </c>
      <c r="O33" s="187" t="s">
        <v>465</v>
      </c>
      <c r="P33" s="414"/>
      <c r="Q33" s="13" t="s">
        <v>482</v>
      </c>
      <c r="R33" s="216" t="s">
        <v>824</v>
      </c>
    </row>
    <row r="34" spans="1:18" ht="15.6" x14ac:dyDescent="0.25">
      <c r="A34" s="401"/>
      <c r="B34" s="401"/>
      <c r="C34" s="102" t="s">
        <v>458</v>
      </c>
      <c r="D34" s="185" t="s">
        <v>367</v>
      </c>
      <c r="E34" s="185">
        <v>50</v>
      </c>
      <c r="F34" s="187">
        <f>F22</f>
        <v>0.99374999999999991</v>
      </c>
      <c r="G34" s="190">
        <f>G5</f>
        <v>256.69805000000002</v>
      </c>
      <c r="H34" s="109">
        <f>H5</f>
        <v>5.05</v>
      </c>
      <c r="I34" s="190"/>
      <c r="J34" s="109"/>
      <c r="K34" s="392" t="s">
        <v>497</v>
      </c>
      <c r="L34" s="393"/>
      <c r="M34" s="187"/>
      <c r="N34" s="187"/>
      <c r="O34" s="187"/>
      <c r="P34" s="414"/>
      <c r="Q34" s="13"/>
    </row>
    <row r="35" spans="1:18" ht="15.6" x14ac:dyDescent="0.25">
      <c r="A35" s="401"/>
      <c r="B35" s="401"/>
      <c r="C35" s="102" t="s">
        <v>619</v>
      </c>
      <c r="D35" s="185" t="s">
        <v>525</v>
      </c>
      <c r="E35" s="185">
        <v>28</v>
      </c>
      <c r="F35" s="187">
        <f>F28</f>
        <v>0.84705882352941175</v>
      </c>
      <c r="G35" s="190">
        <f>G28</f>
        <v>61.574086000000001</v>
      </c>
      <c r="H35" s="109">
        <f>H28</f>
        <v>6.3</v>
      </c>
      <c r="I35" s="190"/>
      <c r="J35" s="109"/>
      <c r="K35" s="392" t="s">
        <v>529</v>
      </c>
      <c r="L35" s="393"/>
      <c r="M35" s="187"/>
      <c r="N35" s="187"/>
      <c r="O35" s="187"/>
      <c r="P35" s="414"/>
      <c r="Q35" s="13"/>
    </row>
    <row r="36" spans="1:18" ht="15.6" x14ac:dyDescent="0.25">
      <c r="A36" s="401"/>
      <c r="B36" s="401"/>
      <c r="C36" s="102" t="s">
        <v>619</v>
      </c>
      <c r="D36" s="185" t="s">
        <v>534</v>
      </c>
      <c r="E36" s="185">
        <v>15</v>
      </c>
      <c r="F36" s="187">
        <f>N36/20</f>
        <v>0.495</v>
      </c>
      <c r="G36" s="190">
        <f>22.2/100*E36</f>
        <v>3.33</v>
      </c>
      <c r="H36" s="109">
        <f>1.3/100*E36</f>
        <v>0.19500000000000001</v>
      </c>
      <c r="I36" s="190"/>
      <c r="J36" s="109"/>
      <c r="K36" s="392" t="s">
        <v>535</v>
      </c>
      <c r="L36" s="393"/>
      <c r="M36" s="187" t="s">
        <v>343</v>
      </c>
      <c r="N36" s="187">
        <v>9.9</v>
      </c>
      <c r="O36" s="187" t="s">
        <v>536</v>
      </c>
      <c r="P36" s="414"/>
      <c r="Q36" s="13" t="s">
        <v>777</v>
      </c>
      <c r="R36" s="216" t="s">
        <v>825</v>
      </c>
    </row>
    <row r="37" spans="1:18" ht="15.6" x14ac:dyDescent="0.25">
      <c r="A37" s="401"/>
      <c r="B37" s="401"/>
      <c r="C37" s="102" t="s">
        <v>460</v>
      </c>
      <c r="D37" s="185" t="s">
        <v>47</v>
      </c>
      <c r="E37" s="185">
        <v>30</v>
      </c>
      <c r="F37" s="187">
        <v>0</v>
      </c>
      <c r="G37" s="123">
        <f>G24</f>
        <v>69.089880000000008</v>
      </c>
      <c r="H37" s="189">
        <f>H24</f>
        <v>12.030000000000001</v>
      </c>
      <c r="I37" s="123"/>
      <c r="J37" s="189"/>
      <c r="K37" s="187"/>
      <c r="L37" s="187"/>
      <c r="M37" s="187"/>
      <c r="N37" s="187"/>
      <c r="O37" s="187"/>
      <c r="P37" s="414"/>
      <c r="Q37" s="13"/>
    </row>
    <row r="38" spans="1:18" ht="16.8" thickBot="1" x14ac:dyDescent="0.3">
      <c r="A38" s="401"/>
      <c r="B38" s="404"/>
      <c r="C38" s="383" t="s">
        <v>356</v>
      </c>
      <c r="D38" s="384"/>
      <c r="E38" s="97">
        <f>SUM(E32:E37)</f>
        <v>214.6</v>
      </c>
      <c r="F38" s="98">
        <f>SUM(F32:F37)</f>
        <v>4.2733088235294119</v>
      </c>
      <c r="G38" s="124">
        <f t="shared" ref="G38:H38" si="14">SUM(G32:G37)</f>
        <v>699.01444480000009</v>
      </c>
      <c r="H38" s="111">
        <f t="shared" si="14"/>
        <v>31.020200000000003</v>
      </c>
      <c r="I38" s="130"/>
      <c r="J38" s="117"/>
      <c r="K38" s="80"/>
      <c r="L38" s="80"/>
      <c r="M38" s="80"/>
      <c r="N38" s="78">
        <f>SUM(N32:N37)</f>
        <v>47.5</v>
      </c>
      <c r="O38" s="80"/>
      <c r="P38" s="415"/>
      <c r="Q38" s="151"/>
    </row>
    <row r="39" spans="1:18" ht="15.6" x14ac:dyDescent="0.25">
      <c r="A39" s="401"/>
      <c r="B39" s="405" t="s">
        <v>385</v>
      </c>
      <c r="C39" s="104" t="s">
        <v>618</v>
      </c>
      <c r="D39" s="16" t="s">
        <v>483</v>
      </c>
      <c r="E39" s="16">
        <v>50</v>
      </c>
      <c r="F39" s="60">
        <f>N39/32</f>
        <v>1.0562499999999999</v>
      </c>
      <c r="G39" s="125">
        <f>I39*0.2389/100*E39</f>
        <v>166.15495000000001</v>
      </c>
      <c r="H39" s="112">
        <f>J39/100*E39</f>
        <v>4.05</v>
      </c>
      <c r="I39" s="125">
        <v>1391</v>
      </c>
      <c r="J39" s="112">
        <v>8.1</v>
      </c>
      <c r="K39" s="394" t="s">
        <v>484</v>
      </c>
      <c r="L39" s="395"/>
      <c r="M39" s="192" t="s">
        <v>463</v>
      </c>
      <c r="N39" s="192">
        <f>16.9*2</f>
        <v>33.799999999999997</v>
      </c>
      <c r="O39" s="192" t="s">
        <v>465</v>
      </c>
      <c r="P39" s="416"/>
      <c r="Q39" s="152" t="s">
        <v>778</v>
      </c>
      <c r="R39" s="216" t="s">
        <v>826</v>
      </c>
    </row>
    <row r="40" spans="1:18" ht="15.6" x14ac:dyDescent="0.25">
      <c r="A40" s="401"/>
      <c r="B40" s="401"/>
      <c r="C40" s="102" t="s">
        <v>618</v>
      </c>
      <c r="D40" s="185" t="s">
        <v>206</v>
      </c>
      <c r="E40" s="185">
        <v>40</v>
      </c>
      <c r="F40" s="187">
        <f>F12*2</f>
        <v>0.95903614457831321</v>
      </c>
      <c r="G40" s="128">
        <f t="shared" ref="G40:G42" si="15">I40*0.2389/100*E40</f>
        <v>167.51667999999998</v>
      </c>
      <c r="H40" s="115">
        <f t="shared" ref="H40:H42" si="16">J40/100*E40</f>
        <v>3</v>
      </c>
      <c r="I40" s="190">
        <v>1753</v>
      </c>
      <c r="J40" s="109">
        <v>7.5</v>
      </c>
      <c r="K40" s="392" t="s">
        <v>540</v>
      </c>
      <c r="L40" s="393"/>
      <c r="M40" s="187"/>
      <c r="N40" s="187"/>
      <c r="O40" s="187"/>
      <c r="P40" s="414"/>
      <c r="Q40" s="13"/>
    </row>
    <row r="41" spans="1:18" ht="15.6" x14ac:dyDescent="0.25">
      <c r="A41" s="401"/>
      <c r="B41" s="401"/>
      <c r="C41" s="102" t="s">
        <v>460</v>
      </c>
      <c r="D41" s="185" t="s">
        <v>541</v>
      </c>
      <c r="E41" s="185">
        <v>32</v>
      </c>
      <c r="F41" s="187">
        <f>N41/20</f>
        <v>1.0900000000000001</v>
      </c>
      <c r="G41" s="128">
        <f t="shared" si="15"/>
        <v>61.540640000000003</v>
      </c>
      <c r="H41" s="115">
        <f t="shared" si="16"/>
        <v>3.52</v>
      </c>
      <c r="I41" s="190">
        <v>805</v>
      </c>
      <c r="J41" s="109">
        <v>11</v>
      </c>
      <c r="K41" s="392" t="s">
        <v>971</v>
      </c>
      <c r="L41" s="393"/>
      <c r="M41" s="187" t="s">
        <v>556</v>
      </c>
      <c r="N41" s="187">
        <f>10.9*2</f>
        <v>21.8</v>
      </c>
      <c r="O41" s="187" t="s">
        <v>558</v>
      </c>
      <c r="P41" s="414"/>
      <c r="Q41" s="13" t="s">
        <v>761</v>
      </c>
    </row>
    <row r="42" spans="1:18" ht="15.6" x14ac:dyDescent="0.25">
      <c r="A42" s="401"/>
      <c r="B42" s="401"/>
      <c r="C42" s="102" t="s">
        <v>619</v>
      </c>
      <c r="D42" s="185" t="s">
        <v>524</v>
      </c>
      <c r="E42" s="185">
        <v>60</v>
      </c>
      <c r="F42" s="187">
        <f>N42/40</f>
        <v>1.6247499999999999</v>
      </c>
      <c r="G42" s="126">
        <f t="shared" si="15"/>
        <v>131.94447</v>
      </c>
      <c r="H42" s="113">
        <f t="shared" si="16"/>
        <v>13.5</v>
      </c>
      <c r="I42" s="190">
        <v>920.5</v>
      </c>
      <c r="J42" s="109">
        <v>22.5</v>
      </c>
      <c r="K42" s="392" t="s">
        <v>671</v>
      </c>
      <c r="L42" s="393"/>
      <c r="M42" s="187" t="s">
        <v>702</v>
      </c>
      <c r="N42" s="187">
        <v>64.989999999999995</v>
      </c>
      <c r="O42" s="187" t="s">
        <v>520</v>
      </c>
      <c r="P42" s="414"/>
      <c r="Q42" s="13" t="s">
        <v>703</v>
      </c>
      <c r="R42" s="216" t="s">
        <v>827</v>
      </c>
    </row>
    <row r="43" spans="1:18" ht="15.6" x14ac:dyDescent="0.25">
      <c r="A43" s="401"/>
      <c r="B43" s="401"/>
      <c r="C43" s="102" t="s">
        <v>460</v>
      </c>
      <c r="D43" s="185" t="s">
        <v>47</v>
      </c>
      <c r="E43" s="185">
        <v>30</v>
      </c>
      <c r="F43" s="187">
        <v>0</v>
      </c>
      <c r="G43" s="123">
        <f>G24</f>
        <v>69.089880000000008</v>
      </c>
      <c r="H43" s="189">
        <f>H24</f>
        <v>12.030000000000001</v>
      </c>
      <c r="I43" s="123"/>
      <c r="J43" s="189"/>
      <c r="K43" s="187"/>
      <c r="L43" s="187"/>
      <c r="M43" s="187"/>
      <c r="N43" s="187"/>
      <c r="O43" s="187"/>
      <c r="P43" s="414"/>
      <c r="Q43" s="13"/>
    </row>
    <row r="44" spans="1:18" ht="16.8" thickBot="1" x14ac:dyDescent="0.3">
      <c r="A44" s="402"/>
      <c r="B44" s="402"/>
      <c r="C44" s="390" t="s">
        <v>356</v>
      </c>
      <c r="D44" s="391"/>
      <c r="E44" s="99">
        <f>SUM(E39:E43)</f>
        <v>212</v>
      </c>
      <c r="F44" s="100">
        <f>SUM(F39:F43)</f>
        <v>4.730036144578313</v>
      </c>
      <c r="G44" s="141">
        <f t="shared" ref="G44:H44" si="17">SUM(G39:G43)</f>
        <v>596.24662000000001</v>
      </c>
      <c r="H44" s="135">
        <f t="shared" si="17"/>
        <v>36.1</v>
      </c>
      <c r="I44" s="131"/>
      <c r="J44" s="118"/>
      <c r="K44" s="81"/>
      <c r="L44" s="81"/>
      <c r="M44" s="81"/>
      <c r="N44" s="95">
        <f>SUM(N39:N43)</f>
        <v>120.58999999999999</v>
      </c>
      <c r="O44" s="81"/>
      <c r="P44" s="417"/>
      <c r="Q44" s="155"/>
    </row>
    <row r="45" spans="1:18" ht="16.2" customHeight="1" thickTop="1" x14ac:dyDescent="0.25">
      <c r="A45" s="440" t="s">
        <v>389</v>
      </c>
      <c r="B45" s="440" t="s">
        <v>380</v>
      </c>
      <c r="C45" s="188" t="s">
        <v>620</v>
      </c>
      <c r="D45" s="14" t="s">
        <v>563</v>
      </c>
      <c r="E45" s="14">
        <f>12*2</f>
        <v>24</v>
      </c>
      <c r="F45" s="191">
        <f>N45/60</f>
        <v>1.69</v>
      </c>
      <c r="G45" s="128">
        <f>179*0.2389*2</f>
        <v>85.526200000000003</v>
      </c>
      <c r="H45" s="115">
        <f>2.6*2</f>
        <v>5.2</v>
      </c>
      <c r="I45" s="128"/>
      <c r="J45" s="115"/>
      <c r="K45" s="442" t="s">
        <v>562</v>
      </c>
      <c r="L45" s="443"/>
      <c r="M45" s="191" t="s">
        <v>521</v>
      </c>
      <c r="N45" s="191">
        <f>33.8*3</f>
        <v>101.39999999999999</v>
      </c>
      <c r="O45" s="191" t="s">
        <v>300</v>
      </c>
      <c r="P45" s="438" t="s">
        <v>576</v>
      </c>
      <c r="Q45" s="150" t="s">
        <v>564</v>
      </c>
      <c r="R45" s="216" t="s">
        <v>838</v>
      </c>
    </row>
    <row r="46" spans="1:18" ht="16.2" customHeight="1" x14ac:dyDescent="0.25">
      <c r="A46" s="440"/>
      <c r="B46" s="440"/>
      <c r="C46" s="102" t="s">
        <v>458</v>
      </c>
      <c r="D46" s="185" t="s">
        <v>63</v>
      </c>
      <c r="E46" s="185">
        <v>180</v>
      </c>
      <c r="F46" s="187">
        <f>N46/50</f>
        <v>1.238</v>
      </c>
      <c r="G46" s="190">
        <f>I46*0.2389/100*E46</f>
        <v>639.86976000000004</v>
      </c>
      <c r="H46" s="109">
        <f>J46/100*E46</f>
        <v>22.32</v>
      </c>
      <c r="I46" s="190">
        <v>1488</v>
      </c>
      <c r="J46" s="109">
        <v>12.4</v>
      </c>
      <c r="K46" s="392" t="s">
        <v>798</v>
      </c>
      <c r="L46" s="393"/>
      <c r="M46" s="187" t="s">
        <v>799</v>
      </c>
      <c r="N46" s="187">
        <v>61.9</v>
      </c>
      <c r="O46" s="187" t="s">
        <v>870</v>
      </c>
      <c r="P46" s="438"/>
      <c r="Q46" s="13" t="s">
        <v>800</v>
      </c>
      <c r="R46" s="216" t="s">
        <v>828</v>
      </c>
    </row>
    <row r="47" spans="1:18" ht="16.2" customHeight="1" x14ac:dyDescent="0.25">
      <c r="A47" s="440"/>
      <c r="B47" s="440"/>
      <c r="C47" s="102" t="s">
        <v>619</v>
      </c>
      <c r="D47" s="185" t="s">
        <v>62</v>
      </c>
      <c r="E47" s="185">
        <v>55</v>
      </c>
      <c r="F47" s="187">
        <f>N47/2500*55</f>
        <v>0.24156</v>
      </c>
      <c r="G47" s="190">
        <f t="shared" ref="G47:G48" si="18">I47*0.2389/100*E47</f>
        <v>99.99159499999999</v>
      </c>
      <c r="H47" s="109">
        <f t="shared" ref="H47:H48" si="19">J47/100*E47</f>
        <v>8.8000000000000007</v>
      </c>
      <c r="I47" s="190">
        <v>761</v>
      </c>
      <c r="J47" s="109">
        <v>16</v>
      </c>
      <c r="K47" s="392" t="s">
        <v>579</v>
      </c>
      <c r="L47" s="393"/>
      <c r="M47" s="187" t="s">
        <v>169</v>
      </c>
      <c r="N47" s="187">
        <v>10.98</v>
      </c>
      <c r="O47" s="187" t="s">
        <v>578</v>
      </c>
      <c r="P47" s="438"/>
      <c r="Q47" s="13" t="s">
        <v>779</v>
      </c>
      <c r="R47" s="216" t="s">
        <v>841</v>
      </c>
    </row>
    <row r="48" spans="1:18" ht="16.2" customHeight="1" x14ac:dyDescent="0.25">
      <c r="A48" s="440"/>
      <c r="B48" s="440"/>
      <c r="C48" s="102" t="s">
        <v>619</v>
      </c>
      <c r="D48" s="185" t="s">
        <v>61</v>
      </c>
      <c r="E48" s="185">
        <v>15.6</v>
      </c>
      <c r="F48" s="187">
        <f>N48/16/5</f>
        <v>3.1187499999999999</v>
      </c>
      <c r="G48" s="190">
        <f t="shared" si="18"/>
        <v>43.454954400000005</v>
      </c>
      <c r="H48" s="109">
        <f t="shared" si="19"/>
        <v>9.1727999999999987</v>
      </c>
      <c r="I48" s="190">
        <v>1166</v>
      </c>
      <c r="J48" s="109">
        <v>58.8</v>
      </c>
      <c r="K48" s="392" t="s">
        <v>791</v>
      </c>
      <c r="L48" s="393"/>
      <c r="M48" s="187" t="s">
        <v>792</v>
      </c>
      <c r="N48" s="187">
        <f>49.9*5</f>
        <v>249.5</v>
      </c>
      <c r="O48" s="187" t="s">
        <v>647</v>
      </c>
      <c r="P48" s="438"/>
      <c r="Q48" s="13" t="s">
        <v>780</v>
      </c>
      <c r="R48" s="216" t="s">
        <v>829</v>
      </c>
    </row>
    <row r="49" spans="1:18" ht="16.2" customHeight="1" x14ac:dyDescent="0.25">
      <c r="A49" s="440"/>
      <c r="B49" s="440"/>
      <c r="C49" s="102" t="s">
        <v>619</v>
      </c>
      <c r="D49" s="185" t="s">
        <v>533</v>
      </c>
      <c r="E49" s="185">
        <v>17.5</v>
      </c>
      <c r="F49" s="187">
        <f>N49/10/4</f>
        <v>0.49749999999999994</v>
      </c>
      <c r="G49" s="190">
        <f>G36/15*E49</f>
        <v>3.8850000000000002</v>
      </c>
      <c r="H49" s="109">
        <f>H36/15*E49</f>
        <v>0.22750000000000001</v>
      </c>
      <c r="I49" s="190"/>
      <c r="J49" s="109"/>
      <c r="K49" s="392" t="s">
        <v>649</v>
      </c>
      <c r="L49" s="393"/>
      <c r="M49" s="187" t="s">
        <v>650</v>
      </c>
      <c r="N49" s="187">
        <v>19.899999999999999</v>
      </c>
      <c r="O49" s="187" t="s">
        <v>532</v>
      </c>
      <c r="P49" s="438"/>
      <c r="Q49" s="13" t="s">
        <v>781</v>
      </c>
      <c r="R49" s="216" t="s">
        <v>830</v>
      </c>
    </row>
    <row r="50" spans="1:18" ht="16.2" customHeight="1" x14ac:dyDescent="0.25">
      <c r="A50" s="440"/>
      <c r="B50" s="440"/>
      <c r="C50" s="102" t="s">
        <v>457</v>
      </c>
      <c r="D50" s="185" t="s">
        <v>487</v>
      </c>
      <c r="E50" s="185">
        <f>23.5*2</f>
        <v>47</v>
      </c>
      <c r="F50" s="187">
        <f>N50/34</f>
        <v>0.99705882352941178</v>
      </c>
      <c r="G50" s="128">
        <f>I50*0.2389/100*E50</f>
        <v>172.24212199999999</v>
      </c>
      <c r="H50" s="115">
        <f>J50/100*E50</f>
        <v>3.1020000000000003</v>
      </c>
      <c r="I50" s="190">
        <v>1534</v>
      </c>
      <c r="J50" s="109">
        <v>6.6</v>
      </c>
      <c r="K50" s="392" t="s">
        <v>673</v>
      </c>
      <c r="L50" s="393"/>
      <c r="M50" s="187" t="s">
        <v>463</v>
      </c>
      <c r="N50" s="187">
        <v>33.9</v>
      </c>
      <c r="O50" s="187" t="s">
        <v>465</v>
      </c>
      <c r="P50" s="438"/>
      <c r="Q50" s="13" t="s">
        <v>674</v>
      </c>
      <c r="R50" s="216" t="s">
        <v>831</v>
      </c>
    </row>
    <row r="51" spans="1:18" ht="16.2" customHeight="1" x14ac:dyDescent="0.25">
      <c r="A51" s="440"/>
      <c r="B51" s="440"/>
      <c r="C51" s="102" t="s">
        <v>460</v>
      </c>
      <c r="D51" s="185" t="s">
        <v>708</v>
      </c>
      <c r="E51" s="185">
        <v>50</v>
      </c>
      <c r="F51" s="187">
        <v>0</v>
      </c>
      <c r="G51" s="190">
        <f t="shared" ref="G51" si="20">I51*0.2389*E51/100</f>
        <v>84.570599999999999</v>
      </c>
      <c r="H51" s="109">
        <f t="shared" ref="H51" si="21">J51/100*E51</f>
        <v>16.95</v>
      </c>
      <c r="I51" s="123">
        <v>708</v>
      </c>
      <c r="J51" s="189">
        <v>33.9</v>
      </c>
      <c r="K51" s="187"/>
      <c r="L51" s="187"/>
      <c r="M51" s="187"/>
      <c r="N51" s="187"/>
      <c r="O51" s="187"/>
      <c r="P51" s="438"/>
      <c r="Q51" s="13"/>
    </row>
    <row r="52" spans="1:18" ht="16.2" customHeight="1" thickBot="1" x14ac:dyDescent="0.3">
      <c r="A52" s="440"/>
      <c r="B52" s="441"/>
      <c r="C52" s="383" t="s">
        <v>356</v>
      </c>
      <c r="D52" s="384"/>
      <c r="E52" s="97">
        <f>SUM(E45:E51)</f>
        <v>389.1</v>
      </c>
      <c r="F52" s="98">
        <f>SUM(F45:F51)</f>
        <v>7.7828688235294106</v>
      </c>
      <c r="G52" s="124">
        <f>SUM(G45:G51)</f>
        <v>1129.5402314</v>
      </c>
      <c r="H52" s="111">
        <f>SUM(H45:H51)</f>
        <v>65.772300000000001</v>
      </c>
      <c r="I52" s="124"/>
      <c r="J52" s="111"/>
      <c r="K52" s="56"/>
      <c r="L52" s="56"/>
      <c r="M52" s="56"/>
      <c r="N52" s="59">
        <f>SUM(N45:N51)</f>
        <v>477.57999999999993</v>
      </c>
      <c r="O52" s="56"/>
      <c r="P52" s="439"/>
      <c r="Q52" s="151"/>
    </row>
    <row r="53" spans="1:18" ht="16.2" customHeight="1" thickBot="1" x14ac:dyDescent="0.3">
      <c r="A53" s="440"/>
      <c r="B53" s="405" t="s">
        <v>486</v>
      </c>
      <c r="C53" s="104" t="s">
        <v>458</v>
      </c>
      <c r="D53" s="16" t="s">
        <v>381</v>
      </c>
      <c r="E53" s="16">
        <v>45</v>
      </c>
      <c r="F53" s="60">
        <f>32/16</f>
        <v>2</v>
      </c>
      <c r="G53" s="136">
        <f>I53*0.2389/100*E53</f>
        <v>169.32037499999998</v>
      </c>
      <c r="H53" s="137">
        <f>J53/100*E53</f>
        <v>4.4550000000000001</v>
      </c>
      <c r="I53" s="125">
        <v>1575</v>
      </c>
      <c r="J53" s="112">
        <v>9.9</v>
      </c>
      <c r="K53" s="394" t="s">
        <v>591</v>
      </c>
      <c r="L53" s="395"/>
      <c r="M53" s="60"/>
      <c r="N53" s="60"/>
      <c r="O53" s="60"/>
      <c r="P53" s="427" t="s">
        <v>395</v>
      </c>
      <c r="Q53" s="152" t="s">
        <v>782</v>
      </c>
    </row>
    <row r="54" spans="1:18" ht="16.2" customHeight="1" x14ac:dyDescent="0.25">
      <c r="A54" s="440"/>
      <c r="B54" s="401"/>
      <c r="C54" s="102" t="s">
        <v>54</v>
      </c>
      <c r="D54" s="185" t="s">
        <v>57</v>
      </c>
      <c r="E54" s="185">
        <v>15</v>
      </c>
      <c r="F54" s="187">
        <f>12.8/10/2</f>
        <v>0.64</v>
      </c>
      <c r="G54" s="123">
        <f t="shared" ref="G54:G60" si="22">I54*0.2389/100*E54</f>
        <v>10.284644999999999</v>
      </c>
      <c r="H54" s="189">
        <f t="shared" ref="H54:H60" si="23">J54/100*E54</f>
        <v>0.20999999999999996</v>
      </c>
      <c r="I54" s="128">
        <v>287</v>
      </c>
      <c r="J54" s="115">
        <v>1.4</v>
      </c>
      <c r="K54" s="394" t="s">
        <v>591</v>
      </c>
      <c r="L54" s="395"/>
      <c r="M54" s="228"/>
      <c r="N54" s="228"/>
      <c r="O54" s="228" t="s">
        <v>300</v>
      </c>
      <c r="P54" s="428"/>
      <c r="Q54" s="13" t="s">
        <v>783</v>
      </c>
    </row>
    <row r="55" spans="1:18" ht="16.2" customHeight="1" x14ac:dyDescent="0.25">
      <c r="A55" s="440"/>
      <c r="B55" s="401"/>
      <c r="C55" s="102" t="s">
        <v>458</v>
      </c>
      <c r="D55" s="185" t="s">
        <v>310</v>
      </c>
      <c r="E55" s="185">
        <v>150</v>
      </c>
      <c r="F55" s="187">
        <f>N55/16</f>
        <v>3.125</v>
      </c>
      <c r="G55" s="123">
        <f>246.1/100*E55</f>
        <v>369.15</v>
      </c>
      <c r="H55" s="189">
        <f>9.5/100*E55</f>
        <v>14.25</v>
      </c>
      <c r="I55" s="190"/>
      <c r="J55" s="109"/>
      <c r="K55" s="392" t="s">
        <v>594</v>
      </c>
      <c r="L55" s="393"/>
      <c r="M55" s="187" t="s">
        <v>595</v>
      </c>
      <c r="N55" s="187">
        <f>30+20</f>
        <v>50</v>
      </c>
      <c r="O55" s="187" t="s">
        <v>596</v>
      </c>
      <c r="P55" s="428"/>
      <c r="Q55" s="13" t="s">
        <v>784</v>
      </c>
      <c r="R55" s="216" t="s">
        <v>832</v>
      </c>
    </row>
    <row r="56" spans="1:18" ht="16.2" customHeight="1" x14ac:dyDescent="0.25">
      <c r="A56" s="440"/>
      <c r="B56" s="401"/>
      <c r="C56" s="102" t="s">
        <v>619</v>
      </c>
      <c r="D56" s="185" t="s">
        <v>597</v>
      </c>
      <c r="E56" s="185">
        <v>31.2</v>
      </c>
      <c r="F56" s="187">
        <f>N56/16</f>
        <v>0.84375</v>
      </c>
      <c r="G56" s="123">
        <f t="shared" si="22"/>
        <v>50.386876799999996</v>
      </c>
      <c r="H56" s="189">
        <f t="shared" si="23"/>
        <v>2.1215999999999999</v>
      </c>
      <c r="I56" s="190">
        <v>676</v>
      </c>
      <c r="J56" s="109">
        <v>6.8</v>
      </c>
      <c r="K56" s="392" t="s">
        <v>598</v>
      </c>
      <c r="L56" s="393"/>
      <c r="M56" s="187" t="s">
        <v>341</v>
      </c>
      <c r="N56" s="187">
        <v>13.5</v>
      </c>
      <c r="O56" s="187" t="s">
        <v>599</v>
      </c>
      <c r="P56" s="428"/>
      <c r="Q56" s="13" t="s">
        <v>785</v>
      </c>
      <c r="R56" s="216" t="s">
        <v>833</v>
      </c>
    </row>
    <row r="57" spans="1:18" ht="16.2" customHeight="1" x14ac:dyDescent="0.25">
      <c r="A57" s="440"/>
      <c r="B57" s="401"/>
      <c r="C57" s="102" t="s">
        <v>619</v>
      </c>
      <c r="D57" s="185" t="s">
        <v>62</v>
      </c>
      <c r="E57" s="185">
        <v>46</v>
      </c>
      <c r="F57" s="187">
        <f>N47/2500*E57</f>
        <v>0.20203199999999999</v>
      </c>
      <c r="G57" s="123">
        <f t="shared" si="22"/>
        <v>83.629334</v>
      </c>
      <c r="H57" s="189">
        <f t="shared" si="23"/>
        <v>7.36</v>
      </c>
      <c r="I57" s="190">
        <v>761</v>
      </c>
      <c r="J57" s="109">
        <v>16</v>
      </c>
      <c r="K57" s="392" t="s">
        <v>580</v>
      </c>
      <c r="L57" s="393"/>
      <c r="M57" s="187"/>
      <c r="N57" s="187"/>
      <c r="O57" s="187"/>
      <c r="P57" s="428"/>
      <c r="Q57" s="13"/>
    </row>
    <row r="58" spans="1:18" ht="16.2" customHeight="1" x14ac:dyDescent="0.25">
      <c r="A58" s="440"/>
      <c r="B58" s="401"/>
      <c r="C58" s="102" t="s">
        <v>619</v>
      </c>
      <c r="D58" s="185" t="s">
        <v>61</v>
      </c>
      <c r="E58" s="185">
        <v>15</v>
      </c>
      <c r="F58" s="187">
        <v>3.12</v>
      </c>
      <c r="G58" s="123">
        <f t="shared" si="22"/>
        <v>41.78361000000001</v>
      </c>
      <c r="H58" s="189">
        <f t="shared" si="23"/>
        <v>8.82</v>
      </c>
      <c r="I58" s="190">
        <v>1166</v>
      </c>
      <c r="J58" s="109">
        <v>58.8</v>
      </c>
      <c r="K58" s="392" t="s">
        <v>582</v>
      </c>
      <c r="L58" s="393"/>
      <c r="M58" s="187"/>
      <c r="N58" s="187"/>
      <c r="O58" s="187"/>
      <c r="P58" s="428"/>
      <c r="Q58" s="13"/>
    </row>
    <row r="59" spans="1:18" ht="16.2" customHeight="1" x14ac:dyDescent="0.25">
      <c r="A59" s="440"/>
      <c r="B59" s="401"/>
      <c r="C59" s="102" t="s">
        <v>54</v>
      </c>
      <c r="D59" s="185" t="s">
        <v>568</v>
      </c>
      <c r="E59" s="185">
        <v>20</v>
      </c>
      <c r="F59" s="187">
        <f>N59/4/4</f>
        <v>1.055625</v>
      </c>
      <c r="G59" s="123">
        <f t="shared" si="22"/>
        <v>51.411280000000005</v>
      </c>
      <c r="H59" s="189">
        <f t="shared" si="23"/>
        <v>1.52</v>
      </c>
      <c r="I59" s="190">
        <v>1076</v>
      </c>
      <c r="J59" s="109">
        <v>7.6</v>
      </c>
      <c r="K59" s="392" t="s">
        <v>569</v>
      </c>
      <c r="L59" s="393"/>
      <c r="M59" s="187" t="s">
        <v>570</v>
      </c>
      <c r="N59" s="187">
        <f>2.13*7+1.98</f>
        <v>16.89</v>
      </c>
      <c r="O59" s="187" t="s">
        <v>300</v>
      </c>
      <c r="P59" s="428"/>
      <c r="Q59" s="13" t="s">
        <v>571</v>
      </c>
      <c r="R59" s="216" t="s">
        <v>839</v>
      </c>
    </row>
    <row r="60" spans="1:18" ht="16.2" customHeight="1" x14ac:dyDescent="0.25">
      <c r="A60" s="440"/>
      <c r="B60" s="401"/>
      <c r="C60" s="102" t="s">
        <v>457</v>
      </c>
      <c r="D60" s="185" t="s">
        <v>94</v>
      </c>
      <c r="E60" s="185">
        <v>18</v>
      </c>
      <c r="F60" s="187">
        <f>F6</f>
        <v>0.39636363636363636</v>
      </c>
      <c r="G60" s="123">
        <f t="shared" si="22"/>
        <v>88.025093999999996</v>
      </c>
      <c r="H60" s="189">
        <f t="shared" si="23"/>
        <v>1.2779999999999998</v>
      </c>
      <c r="I60" s="190">
        <v>2047</v>
      </c>
      <c r="J60" s="109">
        <v>7.1</v>
      </c>
      <c r="K60" s="392" t="s">
        <v>502</v>
      </c>
      <c r="L60" s="393"/>
      <c r="M60" s="187"/>
      <c r="N60" s="187"/>
      <c r="O60" s="187"/>
      <c r="P60" s="428"/>
      <c r="Q60" s="13"/>
    </row>
    <row r="61" spans="1:18" ht="16.2" customHeight="1" x14ac:dyDescent="0.25">
      <c r="A61" s="440"/>
      <c r="B61" s="401"/>
      <c r="C61" s="102" t="s">
        <v>460</v>
      </c>
      <c r="D61" s="185" t="s">
        <v>708</v>
      </c>
      <c r="E61" s="185">
        <v>50</v>
      </c>
      <c r="F61" s="187">
        <v>0</v>
      </c>
      <c r="G61" s="123">
        <f>G51</f>
        <v>84.570599999999999</v>
      </c>
      <c r="H61" s="123">
        <f>H51</f>
        <v>16.95</v>
      </c>
      <c r="I61" s="123"/>
      <c r="J61" s="189"/>
      <c r="K61" s="187"/>
      <c r="L61" s="187"/>
      <c r="M61" s="187"/>
      <c r="N61" s="187"/>
      <c r="O61" s="187"/>
      <c r="P61" s="428"/>
      <c r="Q61" s="13"/>
    </row>
    <row r="62" spans="1:18" ht="16.2" customHeight="1" thickBot="1" x14ac:dyDescent="0.3">
      <c r="A62" s="440"/>
      <c r="B62" s="404"/>
      <c r="C62" s="383" t="s">
        <v>356</v>
      </c>
      <c r="D62" s="384"/>
      <c r="E62" s="97">
        <f>SUM(E53:E61)</f>
        <v>390.2</v>
      </c>
      <c r="F62" s="98">
        <f>SUM(F53:F61)</f>
        <v>11.382770636363636</v>
      </c>
      <c r="G62" s="124">
        <f t="shared" ref="G62:H62" si="24">SUM(G53:G61)</f>
        <v>948.56181479999998</v>
      </c>
      <c r="H62" s="111">
        <f t="shared" si="24"/>
        <v>56.964600000000004</v>
      </c>
      <c r="I62" s="124"/>
      <c r="J62" s="111"/>
      <c r="K62" s="56"/>
      <c r="L62" s="56"/>
      <c r="M62" s="56"/>
      <c r="N62" s="59">
        <f>SUM(N53:N61)</f>
        <v>80.39</v>
      </c>
      <c r="O62" s="56"/>
      <c r="P62" s="429"/>
      <c r="Q62" s="151"/>
    </row>
    <row r="63" spans="1:18" ht="16.2" customHeight="1" x14ac:dyDescent="0.25">
      <c r="A63" s="440"/>
      <c r="B63" s="452" t="s">
        <v>485</v>
      </c>
      <c r="C63" s="188" t="s">
        <v>458</v>
      </c>
      <c r="D63" s="14" t="s">
        <v>387</v>
      </c>
      <c r="E63" s="14">
        <v>120</v>
      </c>
      <c r="F63" s="191">
        <f>N63/15</f>
        <v>1.9933333333333332</v>
      </c>
      <c r="G63" s="128">
        <f>I63*0.2389/100*E63</f>
        <v>426.86652000000004</v>
      </c>
      <c r="H63" s="115">
        <f>J63/100*E63</f>
        <v>6.7199999999999989</v>
      </c>
      <c r="I63" s="128">
        <v>1489</v>
      </c>
      <c r="J63" s="115">
        <v>5.6</v>
      </c>
      <c r="K63" s="442" t="s">
        <v>601</v>
      </c>
      <c r="L63" s="443"/>
      <c r="M63" s="191" t="s">
        <v>602</v>
      </c>
      <c r="N63" s="191">
        <v>29.9</v>
      </c>
      <c r="O63" s="191" t="s">
        <v>873</v>
      </c>
      <c r="P63" s="438" t="s">
        <v>806</v>
      </c>
      <c r="Q63" s="150" t="s">
        <v>786</v>
      </c>
      <c r="R63" s="216" t="s">
        <v>834</v>
      </c>
    </row>
    <row r="64" spans="1:18" ht="16.2" customHeight="1" x14ac:dyDescent="0.25">
      <c r="A64" s="440"/>
      <c r="B64" s="440"/>
      <c r="C64" s="102" t="s">
        <v>619</v>
      </c>
      <c r="D64" s="185" t="s">
        <v>390</v>
      </c>
      <c r="E64" s="185">
        <v>30</v>
      </c>
      <c r="F64" s="187">
        <f>N64/16</f>
        <v>1.4875</v>
      </c>
      <c r="G64" s="128">
        <f t="shared" ref="G64:G70" si="25">I64*0.2389/100*E64</f>
        <v>176.16485999999998</v>
      </c>
      <c r="H64" s="115">
        <f t="shared" ref="H64:H70" si="26">J64/100*E64</f>
        <v>4.8</v>
      </c>
      <c r="I64" s="190">
        <v>2458</v>
      </c>
      <c r="J64" s="109">
        <v>16</v>
      </c>
      <c r="K64" s="392" t="s">
        <v>604</v>
      </c>
      <c r="L64" s="393"/>
      <c r="M64" s="187" t="s">
        <v>341</v>
      </c>
      <c r="N64" s="187">
        <v>23.8</v>
      </c>
      <c r="O64" s="187" t="s">
        <v>605</v>
      </c>
      <c r="P64" s="438"/>
      <c r="Q64" s="13" t="s">
        <v>787</v>
      </c>
      <c r="R64" s="216" t="s">
        <v>835</v>
      </c>
    </row>
    <row r="65" spans="1:18" ht="16.2" customHeight="1" x14ac:dyDescent="0.25">
      <c r="A65" s="440"/>
      <c r="B65" s="440"/>
      <c r="C65" s="102" t="s">
        <v>54</v>
      </c>
      <c r="D65" s="185" t="s">
        <v>56</v>
      </c>
      <c r="E65" s="185">
        <v>16</v>
      </c>
      <c r="F65" s="187">
        <v>0.65</v>
      </c>
      <c r="G65" s="128">
        <f t="shared" si="25"/>
        <v>66.624431999999999</v>
      </c>
      <c r="H65" s="115">
        <f t="shared" si="26"/>
        <v>0.96</v>
      </c>
      <c r="I65" s="190">
        <v>1743</v>
      </c>
      <c r="J65" s="109">
        <v>6</v>
      </c>
      <c r="K65" s="392" t="s">
        <v>591</v>
      </c>
      <c r="L65" s="393"/>
      <c r="M65" s="187"/>
      <c r="N65" s="187"/>
      <c r="O65" s="187" t="s">
        <v>300</v>
      </c>
      <c r="P65" s="438"/>
      <c r="Q65" s="13" t="s">
        <v>788</v>
      </c>
    </row>
    <row r="66" spans="1:18" ht="16.2" customHeight="1" x14ac:dyDescent="0.25">
      <c r="A66" s="440"/>
      <c r="B66" s="440"/>
      <c r="C66" s="102" t="s">
        <v>54</v>
      </c>
      <c r="D66" s="195" t="s">
        <v>759</v>
      </c>
      <c r="E66" s="195">
        <v>20</v>
      </c>
      <c r="F66" s="196">
        <f>N66/16/2</f>
        <v>2.2312500000000002</v>
      </c>
      <c r="G66" s="128">
        <f t="shared" ref="G66" si="27">I66*0.2389/100*E66</f>
        <v>104.54264000000001</v>
      </c>
      <c r="H66" s="115">
        <f t="shared" ref="H66" si="28">J66/100*E66</f>
        <v>3.2799999999999994</v>
      </c>
      <c r="I66" s="197">
        <v>2188</v>
      </c>
      <c r="J66" s="109">
        <v>16.399999999999999</v>
      </c>
      <c r="K66" s="392" t="s">
        <v>801</v>
      </c>
      <c r="L66" s="393"/>
      <c r="M66" s="196" t="s">
        <v>760</v>
      </c>
      <c r="N66" s="196">
        <f>4*23.8*0.75</f>
        <v>71.400000000000006</v>
      </c>
      <c r="O66" s="196" t="s">
        <v>878</v>
      </c>
      <c r="P66" s="438"/>
      <c r="Q66" s="13" t="s">
        <v>789</v>
      </c>
      <c r="R66" s="216" t="s">
        <v>836</v>
      </c>
    </row>
    <row r="67" spans="1:18" ht="16.2" customHeight="1" x14ac:dyDescent="0.25">
      <c r="A67" s="440"/>
      <c r="B67" s="440"/>
      <c r="C67" s="102" t="s">
        <v>619</v>
      </c>
      <c r="D67" s="185" t="s">
        <v>802</v>
      </c>
      <c r="E67" s="185">
        <v>19</v>
      </c>
      <c r="F67" s="187">
        <f>N67/20/2</f>
        <v>0.69000000000000006</v>
      </c>
      <c r="G67" s="128">
        <f t="shared" si="25"/>
        <v>6.990213999999999</v>
      </c>
      <c r="H67" s="115">
        <f t="shared" si="26"/>
        <v>0.36099999999999999</v>
      </c>
      <c r="I67" s="190">
        <v>154</v>
      </c>
      <c r="J67" s="109">
        <v>1.9</v>
      </c>
      <c r="K67" s="392" t="s">
        <v>804</v>
      </c>
      <c r="L67" s="393"/>
      <c r="M67" s="187" t="s">
        <v>751</v>
      </c>
      <c r="N67" s="187">
        <f>13.8*2</f>
        <v>27.6</v>
      </c>
      <c r="O67" s="187" t="s">
        <v>803</v>
      </c>
      <c r="P67" s="438"/>
      <c r="Q67" s="13" t="s">
        <v>805</v>
      </c>
      <c r="R67" s="216" t="s">
        <v>840</v>
      </c>
    </row>
    <row r="68" spans="1:18" ht="16.2" customHeight="1" x14ac:dyDescent="0.25">
      <c r="A68" s="440"/>
      <c r="B68" s="440"/>
      <c r="C68" s="102" t="s">
        <v>619</v>
      </c>
      <c r="D68" s="185" t="s">
        <v>62</v>
      </c>
      <c r="E68" s="185">
        <v>46.8</v>
      </c>
      <c r="F68" s="187">
        <f>N68/16/2</f>
        <v>0.24687500000000001</v>
      </c>
      <c r="G68" s="128">
        <f t="shared" si="25"/>
        <v>85.083757199999994</v>
      </c>
      <c r="H68" s="115">
        <f t="shared" si="26"/>
        <v>7.4879999999999995</v>
      </c>
      <c r="I68" s="190">
        <v>761</v>
      </c>
      <c r="J68" s="109">
        <v>16</v>
      </c>
      <c r="K68" s="392" t="s">
        <v>672</v>
      </c>
      <c r="L68" s="393"/>
      <c r="M68" s="187" t="s">
        <v>422</v>
      </c>
      <c r="N68" s="187">
        <v>7.9</v>
      </c>
      <c r="O68" s="187" t="s">
        <v>670</v>
      </c>
      <c r="P68" s="438"/>
      <c r="Q68" s="13" t="s">
        <v>790</v>
      </c>
      <c r="R68" s="216" t="s">
        <v>842</v>
      </c>
    </row>
    <row r="69" spans="1:18" ht="16.2" customHeight="1" x14ac:dyDescent="0.25">
      <c r="A69" s="440"/>
      <c r="B69" s="440"/>
      <c r="C69" s="102" t="s">
        <v>619</v>
      </c>
      <c r="D69" s="185" t="s">
        <v>61</v>
      </c>
      <c r="E69" s="185">
        <v>15.6</v>
      </c>
      <c r="F69" s="187">
        <f>F48</f>
        <v>3.1187499999999999</v>
      </c>
      <c r="G69" s="123">
        <f t="shared" ref="G69:H69" si="29">G48</f>
        <v>43.454954400000005</v>
      </c>
      <c r="H69" s="189">
        <f t="shared" si="29"/>
        <v>9.1727999999999987</v>
      </c>
      <c r="I69" s="190"/>
      <c r="J69" s="109"/>
      <c r="K69" s="392" t="s">
        <v>793</v>
      </c>
      <c r="L69" s="393"/>
      <c r="M69" s="187"/>
      <c r="N69" s="187"/>
      <c r="O69" s="187"/>
      <c r="P69" s="438"/>
      <c r="Q69" s="13"/>
    </row>
    <row r="70" spans="1:18" ht="16.2" customHeight="1" x14ac:dyDescent="0.25">
      <c r="A70" s="440"/>
      <c r="B70" s="440"/>
      <c r="C70" s="102" t="s">
        <v>460</v>
      </c>
      <c r="D70" s="185" t="s">
        <v>611</v>
      </c>
      <c r="E70" s="185">
        <v>40</v>
      </c>
      <c r="F70" s="187">
        <f>N70/35</f>
        <v>1.5628571428571429</v>
      </c>
      <c r="G70" s="128">
        <f t="shared" si="25"/>
        <v>66.605320000000006</v>
      </c>
      <c r="H70" s="115">
        <f t="shared" si="26"/>
        <v>7.52</v>
      </c>
      <c r="I70" s="190">
        <v>697</v>
      </c>
      <c r="J70" s="109">
        <v>18.8</v>
      </c>
      <c r="K70" s="392" t="s">
        <v>612</v>
      </c>
      <c r="L70" s="393"/>
      <c r="M70" s="187" t="s">
        <v>613</v>
      </c>
      <c r="N70" s="187">
        <f>44.9+9.8</f>
        <v>54.7</v>
      </c>
      <c r="O70" s="187" t="s">
        <v>615</v>
      </c>
      <c r="P70" s="438"/>
      <c r="Q70" s="13" t="s">
        <v>614</v>
      </c>
      <c r="R70" s="216" t="s">
        <v>837</v>
      </c>
    </row>
    <row r="71" spans="1:18" ht="16.2" customHeight="1" x14ac:dyDescent="0.25">
      <c r="A71" s="440"/>
      <c r="B71" s="440"/>
      <c r="C71" s="102" t="s">
        <v>460</v>
      </c>
      <c r="D71" s="185" t="s">
        <v>708</v>
      </c>
      <c r="E71" s="185">
        <v>50</v>
      </c>
      <c r="F71" s="187">
        <v>0</v>
      </c>
      <c r="G71" s="123">
        <f>G51</f>
        <v>84.570599999999999</v>
      </c>
      <c r="H71" s="123">
        <f>H51</f>
        <v>16.95</v>
      </c>
      <c r="I71" s="123"/>
      <c r="J71" s="189"/>
      <c r="K71" s="187"/>
      <c r="L71" s="187"/>
      <c r="M71" s="187"/>
      <c r="N71" s="187"/>
      <c r="O71" s="187"/>
      <c r="P71" s="438"/>
      <c r="Q71" s="13"/>
    </row>
    <row r="72" spans="1:18" ht="16.2" customHeight="1" x14ac:dyDescent="0.25">
      <c r="A72" s="440"/>
      <c r="B72" s="440"/>
      <c r="C72" s="102" t="s">
        <v>621</v>
      </c>
      <c r="D72" s="185" t="s">
        <v>146</v>
      </c>
      <c r="E72" s="185">
        <v>30</v>
      </c>
      <c r="F72" s="187">
        <f>F9</f>
        <v>1.032</v>
      </c>
      <c r="G72" s="123">
        <f t="shared" ref="G72:H72" si="30">G9</f>
        <v>121.839</v>
      </c>
      <c r="H72" s="189">
        <f t="shared" si="30"/>
        <v>5.3999999999999995</v>
      </c>
      <c r="I72" s="123"/>
      <c r="J72" s="189"/>
      <c r="K72" s="392" t="s">
        <v>794</v>
      </c>
      <c r="L72" s="393"/>
      <c r="M72" s="187"/>
      <c r="N72" s="187"/>
      <c r="O72" s="187"/>
      <c r="P72" s="438"/>
      <c r="Q72" s="13"/>
    </row>
    <row r="73" spans="1:18" ht="16.2" customHeight="1" x14ac:dyDescent="0.25">
      <c r="A73" s="440"/>
      <c r="B73" s="440"/>
      <c r="C73" s="102" t="s">
        <v>619</v>
      </c>
      <c r="D73" s="185" t="s">
        <v>53</v>
      </c>
      <c r="E73" s="185">
        <v>20</v>
      </c>
      <c r="F73" s="187">
        <v>0.46</v>
      </c>
      <c r="G73" s="128">
        <f t="shared" ref="G73" si="31">I73*0.2389/100*E73</f>
        <v>51.076819999999998</v>
      </c>
      <c r="H73" s="115">
        <f t="shared" ref="H73" si="32">J73/100*E73</f>
        <v>1.26</v>
      </c>
      <c r="I73" s="190">
        <v>1069</v>
      </c>
      <c r="J73" s="109">
        <v>6.3</v>
      </c>
      <c r="K73" s="392" t="s">
        <v>591</v>
      </c>
      <c r="L73" s="393"/>
      <c r="M73" s="187"/>
      <c r="N73" s="187"/>
      <c r="O73" s="187"/>
      <c r="P73" s="438"/>
      <c r="Q73" s="13" t="s">
        <v>795</v>
      </c>
    </row>
    <row r="74" spans="1:18" ht="16.2" customHeight="1" x14ac:dyDescent="0.25">
      <c r="A74" s="407"/>
      <c r="B74" s="407"/>
      <c r="C74" s="385" t="s">
        <v>356</v>
      </c>
      <c r="D74" s="386"/>
      <c r="E74" s="69">
        <f>SUM(E63:E73)</f>
        <v>407.40000000000003</v>
      </c>
      <c r="F74" s="101">
        <f>SUM(F63:F73)</f>
        <v>13.472565476190477</v>
      </c>
      <c r="G74" s="132">
        <f>SUM(G63:G73)</f>
        <v>1233.8191176</v>
      </c>
      <c r="H74" s="119">
        <f>SUM(H63:H73)</f>
        <v>63.911799999999999</v>
      </c>
      <c r="I74" s="132"/>
      <c r="J74" s="119"/>
      <c r="K74" s="57"/>
      <c r="L74" s="57"/>
      <c r="M74" s="57"/>
      <c r="N74" s="62">
        <f>SUM(N63:N73)</f>
        <v>215.3</v>
      </c>
      <c r="O74" s="57"/>
      <c r="P74" s="408"/>
      <c r="Q74" s="13"/>
    </row>
    <row r="76" spans="1:18" ht="21" customHeight="1" x14ac:dyDescent="0.25">
      <c r="F76" s="220" t="s">
        <v>364</v>
      </c>
      <c r="G76" s="221" t="s">
        <v>858</v>
      </c>
      <c r="H76" s="222" t="s">
        <v>859</v>
      </c>
      <c r="I76" s="222" t="s">
        <v>860</v>
      </c>
      <c r="J76" s="222" t="s">
        <v>117</v>
      </c>
      <c r="K76" s="303" t="s">
        <v>976</v>
      </c>
    </row>
    <row r="77" spans="1:18" x14ac:dyDescent="0.25">
      <c r="F77" s="209" t="s">
        <v>675</v>
      </c>
      <c r="G77" s="126">
        <f>G8</f>
        <v>771.05787260000011</v>
      </c>
      <c r="H77" s="113">
        <f>H8</f>
        <v>27.017800000000001</v>
      </c>
      <c r="I77" s="209">
        <f>F8</f>
        <v>3.3866414141414145</v>
      </c>
      <c r="J77" s="160" t="s">
        <v>694</v>
      </c>
      <c r="K77" s="444" t="s">
        <v>977</v>
      </c>
    </row>
    <row r="78" spans="1:18" x14ac:dyDescent="0.25">
      <c r="F78" s="187" t="s">
        <v>677</v>
      </c>
      <c r="G78" s="123">
        <f>G15</f>
        <v>781.82103429999995</v>
      </c>
      <c r="H78" s="189">
        <f>H15</f>
        <v>26.980199999999996</v>
      </c>
      <c r="I78" s="187">
        <f>F15</f>
        <v>4.2362339813800656</v>
      </c>
      <c r="J78" s="157" t="s">
        <v>695</v>
      </c>
      <c r="K78" s="457"/>
    </row>
    <row r="79" spans="1:18" ht="16.8" thickBot="1" x14ac:dyDescent="0.3">
      <c r="F79" s="193" t="s">
        <v>678</v>
      </c>
      <c r="G79" s="142">
        <f>G20</f>
        <v>783.31272589999992</v>
      </c>
      <c r="H79" s="143">
        <f>H20</f>
        <v>25.963200000000001</v>
      </c>
      <c r="I79" s="193">
        <f>F20</f>
        <v>2.6604166666666664</v>
      </c>
      <c r="J79" s="161" t="s">
        <v>37</v>
      </c>
      <c r="K79" s="457"/>
    </row>
    <row r="80" spans="1:18" x14ac:dyDescent="0.25">
      <c r="F80" s="60" t="s">
        <v>679</v>
      </c>
      <c r="G80" s="144">
        <f>G25</f>
        <v>784.413816</v>
      </c>
      <c r="H80" s="138">
        <f>H25</f>
        <v>31.880000000000003</v>
      </c>
      <c r="I80" s="60">
        <f>F25</f>
        <v>3.335094537815126</v>
      </c>
      <c r="J80" s="162" t="s">
        <v>696</v>
      </c>
      <c r="K80" s="457"/>
    </row>
    <row r="81" spans="5:12" x14ac:dyDescent="0.25">
      <c r="F81" s="187" t="s">
        <v>680</v>
      </c>
      <c r="G81" s="123">
        <f>G31</f>
        <v>677.02133790000005</v>
      </c>
      <c r="H81" s="189">
        <f>H31</f>
        <v>26.7256</v>
      </c>
      <c r="I81" s="187">
        <f>F31</f>
        <v>4.2146953781512604</v>
      </c>
      <c r="J81" s="157" t="s">
        <v>697</v>
      </c>
      <c r="K81" s="457"/>
    </row>
    <row r="82" spans="5:12" x14ac:dyDescent="0.25">
      <c r="F82" s="187" t="s">
        <v>681</v>
      </c>
      <c r="G82" s="123">
        <f>G38</f>
        <v>699.01444480000009</v>
      </c>
      <c r="H82" s="189">
        <f>H38</f>
        <v>31.020200000000003</v>
      </c>
      <c r="I82" s="187">
        <f>F38</f>
        <v>4.2733088235294119</v>
      </c>
      <c r="J82" s="157" t="s">
        <v>696</v>
      </c>
      <c r="K82" s="457"/>
    </row>
    <row r="83" spans="5:12" ht="16.8" thickBot="1" x14ac:dyDescent="0.3">
      <c r="F83" s="145" t="s">
        <v>682</v>
      </c>
      <c r="G83" s="142">
        <f>G44</f>
        <v>596.24662000000001</v>
      </c>
      <c r="H83" s="143">
        <f>H44</f>
        <v>36.1</v>
      </c>
      <c r="I83" s="193">
        <f>F44</f>
        <v>4.730036144578313</v>
      </c>
      <c r="J83" s="161" t="s">
        <v>697</v>
      </c>
      <c r="K83" s="457"/>
    </row>
    <row r="84" spans="5:12" x14ac:dyDescent="0.25">
      <c r="F84" s="191" t="s">
        <v>683</v>
      </c>
      <c r="G84" s="126">
        <f>G52</f>
        <v>1129.5402314</v>
      </c>
      <c r="H84" s="113">
        <f>H52</f>
        <v>65.772300000000001</v>
      </c>
      <c r="I84" s="191">
        <f>F52</f>
        <v>7.7828688235294106</v>
      </c>
      <c r="J84" s="160" t="s">
        <v>63</v>
      </c>
      <c r="K84" s="457"/>
    </row>
    <row r="85" spans="5:12" x14ac:dyDescent="0.25">
      <c r="F85" s="187" t="s">
        <v>684</v>
      </c>
      <c r="G85" s="123">
        <f>G62</f>
        <v>948.56181479999998</v>
      </c>
      <c r="H85" s="189">
        <f>H62</f>
        <v>56.964600000000004</v>
      </c>
      <c r="I85" s="187">
        <f>F62</f>
        <v>11.382770636363636</v>
      </c>
      <c r="J85" s="157" t="s">
        <v>44</v>
      </c>
      <c r="K85" s="457"/>
    </row>
    <row r="86" spans="5:12" x14ac:dyDescent="0.25">
      <c r="F86" s="187" t="s">
        <v>685</v>
      </c>
      <c r="G86" s="123">
        <f>G74</f>
        <v>1233.8191176</v>
      </c>
      <c r="H86" s="189">
        <f>H74</f>
        <v>63.911799999999999</v>
      </c>
      <c r="I86" s="187">
        <f>F74</f>
        <v>13.472565476190477</v>
      </c>
      <c r="J86" s="157" t="s">
        <v>707</v>
      </c>
      <c r="K86" s="457"/>
    </row>
    <row r="87" spans="5:12" x14ac:dyDescent="0.25">
      <c r="E87" s="186"/>
      <c r="F87" s="139"/>
      <c r="G87" s="166"/>
      <c r="H87" s="167"/>
      <c r="I87" s="139"/>
      <c r="J87" s="168"/>
      <c r="K87" s="139"/>
    </row>
    <row r="88" spans="5:12" ht="21" customHeight="1" x14ac:dyDescent="0.25">
      <c r="F88" s="220" t="s">
        <v>27</v>
      </c>
      <c r="G88" s="221" t="s">
        <v>28</v>
      </c>
      <c r="H88" s="222" t="s">
        <v>29</v>
      </c>
      <c r="I88" s="221" t="s">
        <v>699</v>
      </c>
      <c r="J88" s="222" t="s">
        <v>858</v>
      </c>
      <c r="K88" s="223" t="s">
        <v>676</v>
      </c>
      <c r="L88" s="223" t="s">
        <v>353</v>
      </c>
    </row>
    <row r="89" spans="5:12" x14ac:dyDescent="0.25">
      <c r="F89" s="14" t="s">
        <v>748</v>
      </c>
      <c r="G89" s="210" t="s">
        <v>121</v>
      </c>
      <c r="H89" s="14" t="s">
        <v>749</v>
      </c>
      <c r="I89" s="126" t="s">
        <v>693</v>
      </c>
      <c r="J89" s="113">
        <f>G83</f>
        <v>596.24662000000001</v>
      </c>
      <c r="K89" s="113">
        <f>H83</f>
        <v>36.1</v>
      </c>
      <c r="L89" s="209">
        <f>I83</f>
        <v>4.730036144578313</v>
      </c>
    </row>
    <row r="90" spans="5:12" x14ac:dyDescent="0.25">
      <c r="F90" s="185" t="s">
        <v>749</v>
      </c>
      <c r="G90" s="69" t="s">
        <v>121</v>
      </c>
      <c r="H90" s="69" t="s">
        <v>122</v>
      </c>
      <c r="I90" s="123" t="s">
        <v>692</v>
      </c>
      <c r="J90" s="189">
        <f>G82+G84</f>
        <v>1828.5546762000001</v>
      </c>
      <c r="K90" s="189">
        <f>H82+H84</f>
        <v>96.792500000000004</v>
      </c>
      <c r="L90" s="189">
        <f>I82+I84</f>
        <v>12.056177647058822</v>
      </c>
    </row>
    <row r="91" spans="5:12" x14ac:dyDescent="0.25">
      <c r="F91" s="69" t="s">
        <v>123</v>
      </c>
      <c r="G91" s="69" t="s">
        <v>121</v>
      </c>
      <c r="H91" s="69" t="s">
        <v>122</v>
      </c>
      <c r="I91" s="123" t="s">
        <v>690</v>
      </c>
      <c r="J91" s="189">
        <f>G78+G80+G85</f>
        <v>2514.7966650999997</v>
      </c>
      <c r="K91" s="189">
        <f>H78+H80+H85</f>
        <v>115.82480000000001</v>
      </c>
      <c r="L91" s="189">
        <f>I78+I80+I85</f>
        <v>18.954099155558829</v>
      </c>
    </row>
    <row r="92" spans="5:12" x14ac:dyDescent="0.25">
      <c r="F92" s="69" t="s">
        <v>123</v>
      </c>
      <c r="G92" s="69" t="s">
        <v>121</v>
      </c>
      <c r="H92" s="69" t="s">
        <v>122</v>
      </c>
      <c r="I92" s="123" t="s">
        <v>688</v>
      </c>
      <c r="J92" s="189">
        <f>G77+G81+G86</f>
        <v>2681.8983281000001</v>
      </c>
      <c r="K92" s="189">
        <f>H77+H81+H86</f>
        <v>117.65520000000001</v>
      </c>
      <c r="L92" s="189">
        <f>I77+I81+I86</f>
        <v>21.073902268483153</v>
      </c>
    </row>
    <row r="93" spans="5:12" x14ac:dyDescent="0.25">
      <c r="F93" s="69" t="s">
        <v>123</v>
      </c>
      <c r="G93" s="69" t="s">
        <v>121</v>
      </c>
      <c r="H93" s="69" t="s">
        <v>122</v>
      </c>
      <c r="I93" s="123" t="s">
        <v>689</v>
      </c>
      <c r="J93" s="189">
        <f>G79+G80+G84</f>
        <v>2697.2667732999998</v>
      </c>
      <c r="K93" s="189">
        <f>H79+H80+H84</f>
        <v>123.6155</v>
      </c>
      <c r="L93" s="189">
        <f>I79+I80+I84</f>
        <v>13.778380028011203</v>
      </c>
    </row>
    <row r="94" spans="5:12" x14ac:dyDescent="0.25">
      <c r="F94" s="69" t="s">
        <v>123</v>
      </c>
      <c r="G94" s="69" t="s">
        <v>121</v>
      </c>
      <c r="H94" s="185" t="s">
        <v>700</v>
      </c>
      <c r="I94" s="123" t="s">
        <v>691</v>
      </c>
      <c r="J94" s="189">
        <f>G77+G81</f>
        <v>1448.0792105</v>
      </c>
      <c r="K94" s="189">
        <f>H77+H81</f>
        <v>53.743400000000001</v>
      </c>
      <c r="L94" s="189">
        <f>I77+I81</f>
        <v>7.6013367922926749</v>
      </c>
    </row>
    <row r="95" spans="5:12" x14ac:dyDescent="0.25">
      <c r="F95" s="40" t="s">
        <v>700</v>
      </c>
      <c r="G95" s="40" t="s">
        <v>397</v>
      </c>
      <c r="H95" s="40" t="s">
        <v>401</v>
      </c>
      <c r="I95" s="449"/>
      <c r="J95" s="450"/>
      <c r="K95" s="450"/>
      <c r="L95" s="451"/>
    </row>
    <row r="96" spans="5:12" x14ac:dyDescent="0.25">
      <c r="E96" s="133"/>
      <c r="F96" s="385" t="s">
        <v>686</v>
      </c>
      <c r="G96" s="458"/>
      <c r="H96" s="386"/>
      <c r="I96" s="123" t="s">
        <v>687</v>
      </c>
      <c r="J96" s="189">
        <f>G79+G83+G86</f>
        <v>2613.3784635000002</v>
      </c>
      <c r="K96" s="189">
        <f>H79+H83+H86</f>
        <v>125.97499999999999</v>
      </c>
      <c r="L96" s="189">
        <f>I79+I83+I86</f>
        <v>20.863018287435455</v>
      </c>
    </row>
  </sheetData>
  <mergeCells count="93">
    <mergeCell ref="K77:K86"/>
    <mergeCell ref="A1:J1"/>
    <mergeCell ref="C74:D74"/>
    <mergeCell ref="I95:L95"/>
    <mergeCell ref="F96:H96"/>
    <mergeCell ref="C62:D62"/>
    <mergeCell ref="B63:B74"/>
    <mergeCell ref="K63:L63"/>
    <mergeCell ref="B53:B62"/>
    <mergeCell ref="K53:L53"/>
    <mergeCell ref="K66:L66"/>
    <mergeCell ref="K69:L69"/>
    <mergeCell ref="K72:L72"/>
    <mergeCell ref="K59:L59"/>
    <mergeCell ref="K60:L60"/>
    <mergeCell ref="A45:A74"/>
    <mergeCell ref="B45:B52"/>
    <mergeCell ref="P63:P74"/>
    <mergeCell ref="K64:L64"/>
    <mergeCell ref="K65:L65"/>
    <mergeCell ref="K67:L67"/>
    <mergeCell ref="K68:L68"/>
    <mergeCell ref="K70:L70"/>
    <mergeCell ref="K73:L73"/>
    <mergeCell ref="K45:L45"/>
    <mergeCell ref="P45:P52"/>
    <mergeCell ref="K46:L46"/>
    <mergeCell ref="K47:L47"/>
    <mergeCell ref="K48:L48"/>
    <mergeCell ref="K49:L49"/>
    <mergeCell ref="K50:L50"/>
    <mergeCell ref="C52:D52"/>
    <mergeCell ref="P53:P62"/>
    <mergeCell ref="K54:L54"/>
    <mergeCell ref="K55:L55"/>
    <mergeCell ref="K56:L56"/>
    <mergeCell ref="K57:L57"/>
    <mergeCell ref="K58:L58"/>
    <mergeCell ref="P39:P44"/>
    <mergeCell ref="K40:L40"/>
    <mergeCell ref="K41:L41"/>
    <mergeCell ref="K42:L42"/>
    <mergeCell ref="C44:D44"/>
    <mergeCell ref="A21:A44"/>
    <mergeCell ref="B21:B25"/>
    <mergeCell ref="K21:L21"/>
    <mergeCell ref="C38:D38"/>
    <mergeCell ref="K27:L27"/>
    <mergeCell ref="K28:L28"/>
    <mergeCell ref="K29:L29"/>
    <mergeCell ref="C31:D31"/>
    <mergeCell ref="K33:L33"/>
    <mergeCell ref="K34:L34"/>
    <mergeCell ref="K35:L35"/>
    <mergeCell ref="K36:L36"/>
    <mergeCell ref="B39:B44"/>
    <mergeCell ref="K39:L39"/>
    <mergeCell ref="B26:B31"/>
    <mergeCell ref="K26:L26"/>
    <mergeCell ref="P26:P31"/>
    <mergeCell ref="B32:B38"/>
    <mergeCell ref="K32:L32"/>
    <mergeCell ref="P32:P38"/>
    <mergeCell ref="P16:P20"/>
    <mergeCell ref="K17:L17"/>
    <mergeCell ref="K18:L18"/>
    <mergeCell ref="C20:D20"/>
    <mergeCell ref="P21:P25"/>
    <mergeCell ref="K22:L22"/>
    <mergeCell ref="K23:L23"/>
    <mergeCell ref="C25:D25"/>
    <mergeCell ref="K11:L11"/>
    <mergeCell ref="K12:L12"/>
    <mergeCell ref="K13:L13"/>
    <mergeCell ref="C15:D15"/>
    <mergeCell ref="B16:B20"/>
    <mergeCell ref="C16:C17"/>
    <mergeCell ref="A2:B2"/>
    <mergeCell ref="P2:Q2"/>
    <mergeCell ref="A3:A20"/>
    <mergeCell ref="B3:B8"/>
    <mergeCell ref="C3:C4"/>
    <mergeCell ref="K3:L3"/>
    <mergeCell ref="P3:P8"/>
    <mergeCell ref="K4:L4"/>
    <mergeCell ref="K5:L5"/>
    <mergeCell ref="K6:L6"/>
    <mergeCell ref="C8:D8"/>
    <mergeCell ref="B9:B15"/>
    <mergeCell ref="C9:C11"/>
    <mergeCell ref="K9:L9"/>
    <mergeCell ref="P9:P15"/>
    <mergeCell ref="K10:L10"/>
  </mergeCells>
  <phoneticPr fontId="1" type="noConversion"/>
  <hyperlinks>
    <hyperlink ref="R17" r:id="rId1" xr:uid="{06538210-C0D6-4FDC-9EAC-B17103404729}"/>
    <hyperlink ref="R55" r:id="rId2" xr:uid="{33231A67-389A-470B-A9F2-70FCE6BC50E4}"/>
    <hyperlink ref="R11" r:id="rId3" xr:uid="{07B1E932-729C-4968-BA16-F9938F4F33D0}"/>
    <hyperlink ref="R27" r:id="rId4" xr:uid="{9705D5F9-18BA-428C-9300-B6E6CA0A9FAE}"/>
    <hyperlink ref="R56" r:id="rId5" xr:uid="{2F7F5DED-2947-4F09-AEC2-87F57CBE7D72}"/>
    <hyperlink ref="R63" r:id="rId6" xr:uid="{523B667A-E684-4781-98F4-644E5CEFF657}"/>
    <hyperlink ref="R70" r:id="rId7" xr:uid="{A241C000-F518-4AC0-8A31-4BD26DBC6EFB}"/>
    <hyperlink ref="R4" r:id="rId8" xr:uid="{14727278-7BB2-4AA0-AD43-27741DAA4A53}"/>
    <hyperlink ref="R5" r:id="rId9" xr:uid="{BDB90D3F-34DF-4FC9-A499-7FE34AB833D2}"/>
    <hyperlink ref="R22" r:id="rId10" xr:uid="{90848196-3F9F-4DE9-9157-EFBFAE4BE587}"/>
    <hyperlink ref="R12" r:id="rId11" xr:uid="{BD8AB1E1-48D3-4DF3-99B6-9AC2BE740A50}"/>
    <hyperlink ref="R18" r:id="rId12" xr:uid="{0FA51D39-76D4-4736-9967-CFB7392CAA1F}"/>
    <hyperlink ref="R21" r:id="rId13" xr:uid="{41D40FA0-0B2E-420B-9E65-84781D4306EE}"/>
    <hyperlink ref="R26" r:id="rId14" xr:uid="{CEFA8B2D-77EE-4FF9-8D79-5BE5C90420BE}"/>
    <hyperlink ref="R32" r:id="rId15" xr:uid="{FE19F7F7-B418-46EB-AACF-1C8FB7D2383D}"/>
    <hyperlink ref="R33" r:id="rId16" xr:uid="{ACBC1885-53A8-4435-BE24-1E9CFA9764B0}"/>
    <hyperlink ref="R39" r:id="rId17" xr:uid="{F6407570-DA3F-4CDB-8DD7-74CE7D6002A1}"/>
    <hyperlink ref="R50" r:id="rId18" xr:uid="{E5A6F530-4ADF-4BD3-9983-D4AD47CC5547}"/>
    <hyperlink ref="R64" r:id="rId19" xr:uid="{ADA73272-9ACE-42B0-A461-0D61BF3216DF}"/>
    <hyperlink ref="R28" r:id="rId20" xr:uid="{23B35F84-E835-4FA3-AD57-71AAE6237479}"/>
    <hyperlink ref="R6" r:id="rId21" xr:uid="{43B3E41E-4F50-4765-99EF-DAE3A25A3828}"/>
    <hyperlink ref="R42" r:id="rId22" xr:uid="{C788506F-C669-4CFC-97E6-6F295E399F18}"/>
    <hyperlink ref="R9" r:id="rId23" xr:uid="{0972D7FC-6706-4D1E-AA6F-0C1238624DE0}"/>
    <hyperlink ref="R48" r:id="rId24" xr:uid="{0F2B707A-5881-4F03-9757-D53A13A6FF88}"/>
    <hyperlink ref="R36" r:id="rId25" xr:uid="{3957B137-7589-4B48-BD2F-EB421A1618FD}"/>
    <hyperlink ref="R49" r:id="rId26" xr:uid="{DB07FEA7-FB15-4A3A-AB11-6B3069AFF5D7}"/>
    <hyperlink ref="R29" r:id="rId27" xr:uid="{0FA9275B-04B6-4580-A43C-0E7FCD726737}"/>
    <hyperlink ref="R66" r:id="rId28" xr:uid="{54D91C5C-F994-406C-950C-B9E59E89B9FF}"/>
    <hyperlink ref="R46" r:id="rId29" xr:uid="{D639174A-E798-48B5-8EE1-404276AD1ACD}"/>
    <hyperlink ref="R45" r:id="rId30" xr:uid="{E027C335-6DDA-4F7E-9D7F-2AC33CAE9773}"/>
    <hyperlink ref="R59" r:id="rId31" xr:uid="{AF0938AC-235D-4349-AF7C-38BC95A54B6D}"/>
    <hyperlink ref="R67" r:id="rId32" xr:uid="{3768A0D9-8605-4D69-89ED-F46954E210B9}"/>
    <hyperlink ref="R47" r:id="rId33" xr:uid="{8BD845DE-ABE8-4191-A431-2F69093AF665}"/>
    <hyperlink ref="R68" r:id="rId34" xr:uid="{952816E1-5BF1-4175-83E1-F94B15E8F085}"/>
  </hyperlinks>
  <pageMargins left="0.7" right="0.7" top="0.75" bottom="0.75" header="0.3" footer="0.3"/>
  <pageSetup paperSize="9" orientation="portrait" r:id="rId3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B127C-AA13-40AF-9B19-036349CE6B4A}">
  <dimension ref="A1:S97"/>
  <sheetViews>
    <sheetView zoomScale="107" zoomScaleNormal="107" workbookViewId="0">
      <selection activeCell="F10" sqref="F10"/>
    </sheetView>
  </sheetViews>
  <sheetFormatPr defaultRowHeight="16.2" x14ac:dyDescent="0.25"/>
  <cols>
    <col min="1" max="1" width="5.109375" style="65" customWidth="1"/>
    <col min="2" max="2" width="9.88671875" style="96" customWidth="1"/>
    <col min="3" max="3" width="7.109375" style="2" customWidth="1"/>
    <col min="4" max="4" width="20.33203125" style="2" customWidth="1"/>
    <col min="5" max="5" width="12.5546875" style="2" customWidth="1"/>
    <col min="6" max="6" width="12" style="63" customWidth="1"/>
    <col min="7" max="7" width="13.21875" style="133" customWidth="1"/>
    <col min="8" max="8" width="12.21875" style="120" customWidth="1"/>
    <col min="9" max="9" width="11.109375" style="133" customWidth="1"/>
    <col min="10" max="10" width="13.21875" style="120" customWidth="1"/>
    <col min="11" max="11" width="31.77734375" style="63" customWidth="1"/>
    <col min="12" max="12" width="27.88671875" style="63" customWidth="1"/>
    <col min="13" max="13" width="9.33203125" style="63" customWidth="1"/>
    <col min="14" max="14" width="11.109375" style="63" customWidth="1"/>
    <col min="15" max="15" width="18" style="63" customWidth="1"/>
    <col min="16" max="16" width="14.21875" style="54" customWidth="1"/>
    <col min="17" max="17" width="54.6640625" style="1" customWidth="1"/>
    <col min="18" max="16384" width="8.88671875" style="1"/>
  </cols>
  <sheetData>
    <row r="1" spans="1:19" ht="55.95" customHeight="1" x14ac:dyDescent="0.25">
      <c r="A1" s="446" t="s">
        <v>990</v>
      </c>
      <c r="B1" s="447"/>
      <c r="C1" s="447"/>
      <c r="D1" s="447"/>
      <c r="E1" s="447"/>
      <c r="F1" s="447"/>
      <c r="G1" s="447"/>
      <c r="H1" s="447"/>
      <c r="I1" s="447"/>
      <c r="J1" s="447"/>
    </row>
    <row r="2" spans="1:19" s="198" customFormat="1" ht="25.8" customHeight="1" x14ac:dyDescent="0.25">
      <c r="A2" s="453" t="s">
        <v>364</v>
      </c>
      <c r="B2" s="454"/>
      <c r="C2" s="201" t="s">
        <v>70</v>
      </c>
      <c r="D2" s="202" t="s">
        <v>69</v>
      </c>
      <c r="E2" s="202" t="s">
        <v>354</v>
      </c>
      <c r="F2" s="206" t="s">
        <v>353</v>
      </c>
      <c r="G2" s="207" t="s">
        <v>639</v>
      </c>
      <c r="H2" s="208" t="s">
        <v>641</v>
      </c>
      <c r="I2" s="199" t="s">
        <v>640</v>
      </c>
      <c r="J2" s="200" t="s">
        <v>642</v>
      </c>
      <c r="K2" s="203" t="s">
        <v>411</v>
      </c>
      <c r="L2" s="204" t="s">
        <v>410</v>
      </c>
      <c r="M2" s="203" t="s">
        <v>408</v>
      </c>
      <c r="N2" s="203" t="s">
        <v>409</v>
      </c>
      <c r="O2" s="203" t="s">
        <v>133</v>
      </c>
      <c r="P2" s="455" t="s">
        <v>70</v>
      </c>
      <c r="Q2" s="456"/>
      <c r="R2" s="203" t="s">
        <v>808</v>
      </c>
      <c r="S2" s="205"/>
    </row>
    <row r="3" spans="1:19" ht="16.2" customHeight="1" x14ac:dyDescent="0.25">
      <c r="A3" s="400" t="s">
        <v>365</v>
      </c>
      <c r="B3" s="400" t="s">
        <v>373</v>
      </c>
      <c r="C3" s="432" t="s">
        <v>459</v>
      </c>
      <c r="D3" s="281" t="s">
        <v>38</v>
      </c>
      <c r="E3" s="281">
        <v>31.7</v>
      </c>
      <c r="F3" s="288">
        <f>N3/36</f>
        <v>0.98611111111111116</v>
      </c>
      <c r="G3" s="128">
        <f>I3*0.2389*E3/100</f>
        <v>137.45230949999998</v>
      </c>
      <c r="H3" s="115">
        <f>J3/100*E3</f>
        <v>5.3256000000000006</v>
      </c>
      <c r="I3" s="128">
        <v>1815</v>
      </c>
      <c r="J3" s="115">
        <v>16.8</v>
      </c>
      <c r="K3" s="442" t="s">
        <v>507</v>
      </c>
      <c r="L3" s="443"/>
      <c r="M3" s="288" t="s">
        <v>508</v>
      </c>
      <c r="N3" s="288">
        <f>21.9+13.6</f>
        <v>35.5</v>
      </c>
      <c r="O3" s="288" t="s">
        <v>319</v>
      </c>
      <c r="P3" s="419" t="s">
        <v>355</v>
      </c>
      <c r="Q3" s="150" t="s">
        <v>509</v>
      </c>
      <c r="R3" s="322" t="s">
        <v>989</v>
      </c>
    </row>
    <row r="4" spans="1:19" ht="15.6" customHeight="1" x14ac:dyDescent="0.25">
      <c r="A4" s="401"/>
      <c r="B4" s="401"/>
      <c r="C4" s="389"/>
      <c r="D4" s="276" t="s">
        <v>464</v>
      </c>
      <c r="E4" s="276">
        <v>62.5</v>
      </c>
      <c r="F4" s="283">
        <f>N4/16/3</f>
        <v>0.95416666666666661</v>
      </c>
      <c r="G4" s="287">
        <f>I4*0.2389*E4/100</f>
        <v>245.61906250000001</v>
      </c>
      <c r="H4" s="109">
        <f>J4/100*E4</f>
        <v>6.875</v>
      </c>
      <c r="I4" s="287">
        <v>1645</v>
      </c>
      <c r="J4" s="109">
        <v>11</v>
      </c>
      <c r="K4" s="392" t="s">
        <v>663</v>
      </c>
      <c r="L4" s="393"/>
      <c r="M4" s="283" t="s">
        <v>664</v>
      </c>
      <c r="N4" s="283">
        <f>29.9+15.9</f>
        <v>45.8</v>
      </c>
      <c r="O4" s="283" t="s">
        <v>465</v>
      </c>
      <c r="P4" s="419"/>
      <c r="Q4" s="13" t="s">
        <v>763</v>
      </c>
      <c r="R4" s="216" t="s">
        <v>809</v>
      </c>
    </row>
    <row r="5" spans="1:19" ht="15.6" customHeight="1" x14ac:dyDescent="0.25">
      <c r="A5" s="401"/>
      <c r="B5" s="401"/>
      <c r="C5" s="91" t="s">
        <v>458</v>
      </c>
      <c r="D5" s="276" t="s">
        <v>43</v>
      </c>
      <c r="E5" s="276">
        <v>50</v>
      </c>
      <c r="F5" s="283">
        <f>N5/16/2</f>
        <v>1.05</v>
      </c>
      <c r="G5" s="287">
        <f>I5*0.2389*E5/100</f>
        <v>256.69805000000002</v>
      </c>
      <c r="H5" s="109">
        <f>J5/100*E5</f>
        <v>5.05</v>
      </c>
      <c r="I5" s="287">
        <v>2149</v>
      </c>
      <c r="J5" s="109">
        <v>10.1</v>
      </c>
      <c r="K5" s="392" t="s">
        <v>495</v>
      </c>
      <c r="L5" s="393"/>
      <c r="M5" s="283" t="s">
        <v>463</v>
      </c>
      <c r="N5" s="283">
        <f>16.8*2</f>
        <v>33.6</v>
      </c>
      <c r="O5" s="283" t="s">
        <v>465</v>
      </c>
      <c r="P5" s="419"/>
      <c r="Q5" s="13" t="s">
        <v>770</v>
      </c>
      <c r="R5" s="216" t="s">
        <v>810</v>
      </c>
    </row>
    <row r="6" spans="1:19" ht="15.6" customHeight="1" x14ac:dyDescent="0.25">
      <c r="A6" s="401"/>
      <c r="B6" s="401"/>
      <c r="C6" s="91" t="s">
        <v>456</v>
      </c>
      <c r="D6" s="276" t="s">
        <v>94</v>
      </c>
      <c r="E6" s="276">
        <v>18.2</v>
      </c>
      <c r="F6" s="283">
        <f>N6/55</f>
        <v>0.39636363636363636</v>
      </c>
      <c r="G6" s="287">
        <f t="shared" ref="G6:G7" si="0">I6*0.2389*E6/100</f>
        <v>89.003150599999984</v>
      </c>
      <c r="H6" s="109">
        <f t="shared" ref="H6:H7" si="1">J6/100*E6</f>
        <v>1.2921999999999998</v>
      </c>
      <c r="I6" s="123">
        <v>2047</v>
      </c>
      <c r="J6" s="286">
        <v>7.1</v>
      </c>
      <c r="K6" s="392" t="s">
        <v>500</v>
      </c>
      <c r="L6" s="393"/>
      <c r="M6" s="283" t="s">
        <v>501</v>
      </c>
      <c r="N6" s="283">
        <v>21.8</v>
      </c>
      <c r="O6" s="283" t="s">
        <v>648</v>
      </c>
      <c r="P6" s="419"/>
      <c r="Q6" s="13" t="s">
        <v>510</v>
      </c>
      <c r="R6" s="216" t="s">
        <v>811</v>
      </c>
    </row>
    <row r="7" spans="1:19" ht="15.6" customHeight="1" x14ac:dyDescent="0.25">
      <c r="A7" s="401"/>
      <c r="B7" s="401"/>
      <c r="C7" s="91" t="s">
        <v>460</v>
      </c>
      <c r="D7" s="276" t="s">
        <v>47</v>
      </c>
      <c r="E7" s="276">
        <v>15</v>
      </c>
      <c r="F7" s="283">
        <v>0</v>
      </c>
      <c r="G7" s="287">
        <f t="shared" si="0"/>
        <v>34.544940000000004</v>
      </c>
      <c r="H7" s="109">
        <f t="shared" si="1"/>
        <v>6.0150000000000006</v>
      </c>
      <c r="I7" s="123">
        <v>964</v>
      </c>
      <c r="J7" s="286">
        <v>40.1</v>
      </c>
      <c r="K7" s="283"/>
      <c r="L7" s="283"/>
      <c r="M7" s="283"/>
      <c r="N7" s="283"/>
      <c r="O7" s="283"/>
      <c r="P7" s="419"/>
      <c r="Q7" s="13"/>
    </row>
    <row r="8" spans="1:19" ht="16.2" customHeight="1" thickBot="1" x14ac:dyDescent="0.3">
      <c r="A8" s="401"/>
      <c r="B8" s="404"/>
      <c r="C8" s="387" t="s">
        <v>356</v>
      </c>
      <c r="D8" s="384"/>
      <c r="E8" s="97">
        <f>SUM(E3:E7)</f>
        <v>177.39999999999998</v>
      </c>
      <c r="F8" s="98">
        <f>SUM(F3:F7)</f>
        <v>3.3866414141414145</v>
      </c>
      <c r="G8" s="124">
        <f t="shared" ref="G8:H8" si="2">SUM(G3:G7)</f>
        <v>763.3175126000001</v>
      </c>
      <c r="H8" s="111">
        <f t="shared" si="2"/>
        <v>24.557800000000004</v>
      </c>
      <c r="I8" s="124"/>
      <c r="J8" s="111"/>
      <c r="K8" s="59"/>
      <c r="L8" s="59"/>
      <c r="M8" s="59"/>
      <c r="N8" s="59">
        <f>SUM(N3:N7)</f>
        <v>136.70000000000002</v>
      </c>
      <c r="O8" s="59"/>
      <c r="P8" s="420"/>
      <c r="Q8" s="151"/>
    </row>
    <row r="9" spans="1:19" ht="15.6" x14ac:dyDescent="0.25">
      <c r="A9" s="401"/>
      <c r="B9" s="405" t="s">
        <v>374</v>
      </c>
      <c r="C9" s="397" t="s">
        <v>459</v>
      </c>
      <c r="D9" s="16" t="s">
        <v>146</v>
      </c>
      <c r="E9" s="16">
        <v>30</v>
      </c>
      <c r="F9" s="296">
        <f>N9/50</f>
        <v>1.032</v>
      </c>
      <c r="G9" s="125">
        <f>I9*0.2389/100*E9</f>
        <v>121.839</v>
      </c>
      <c r="H9" s="112">
        <f>J9/100*E9</f>
        <v>5.3999999999999995</v>
      </c>
      <c r="I9" s="125">
        <v>1700</v>
      </c>
      <c r="J9" s="112">
        <v>18</v>
      </c>
      <c r="K9" s="394" t="s">
        <v>762</v>
      </c>
      <c r="L9" s="395"/>
      <c r="M9" s="296" t="s">
        <v>422</v>
      </c>
      <c r="N9" s="296">
        <f>21.8+29.8</f>
        <v>51.6</v>
      </c>
      <c r="O9" s="296" t="s">
        <v>505</v>
      </c>
      <c r="P9" s="421" t="s">
        <v>807</v>
      </c>
      <c r="Q9" s="152" t="s">
        <v>704</v>
      </c>
      <c r="R9" s="216" t="s">
        <v>812</v>
      </c>
    </row>
    <row r="10" spans="1:19" ht="15.6" x14ac:dyDescent="0.25">
      <c r="A10" s="401"/>
      <c r="B10" s="407"/>
      <c r="C10" s="432"/>
      <c r="D10" s="281" t="s">
        <v>662</v>
      </c>
      <c r="E10" s="281">
        <v>62.5</v>
      </c>
      <c r="F10" s="283">
        <f>F4</f>
        <v>0.95416666666666661</v>
      </c>
      <c r="G10" s="126">
        <f t="shared" ref="G10:H10" si="3">G4</f>
        <v>245.61906250000001</v>
      </c>
      <c r="H10" s="113">
        <f t="shared" si="3"/>
        <v>6.875</v>
      </c>
      <c r="I10" s="128"/>
      <c r="J10" s="115"/>
      <c r="K10" s="392" t="s">
        <v>665</v>
      </c>
      <c r="L10" s="393"/>
      <c r="M10" s="288"/>
      <c r="N10" s="288"/>
      <c r="O10" s="288"/>
      <c r="P10" s="433"/>
      <c r="Q10" s="13"/>
    </row>
    <row r="11" spans="1:19" ht="15.6" x14ac:dyDescent="0.25">
      <c r="A11" s="401"/>
      <c r="B11" s="401"/>
      <c r="C11" s="389"/>
      <c r="D11" s="276" t="s">
        <v>357</v>
      </c>
      <c r="E11" s="276">
        <v>40</v>
      </c>
      <c r="F11" s="283">
        <f>N11/16</f>
        <v>0.92812499999999998</v>
      </c>
      <c r="G11" s="287">
        <f>I11*0.2389*E11/100</f>
        <v>145.53788</v>
      </c>
      <c r="H11" s="109">
        <f>J11/100*E11</f>
        <v>2.8760000000000003</v>
      </c>
      <c r="I11" s="287">
        <v>1523</v>
      </c>
      <c r="J11" s="109">
        <v>7.19</v>
      </c>
      <c r="K11" s="392" t="s">
        <v>666</v>
      </c>
      <c r="L11" s="393"/>
      <c r="M11" s="283" t="s">
        <v>667</v>
      </c>
      <c r="N11" s="283">
        <v>14.85</v>
      </c>
      <c r="O11" s="283" t="s">
        <v>319</v>
      </c>
      <c r="P11" s="422"/>
      <c r="Q11" s="13" t="s">
        <v>764</v>
      </c>
      <c r="R11" s="216" t="s">
        <v>813</v>
      </c>
    </row>
    <row r="12" spans="1:19" ht="15.6" x14ac:dyDescent="0.25">
      <c r="A12" s="401"/>
      <c r="B12" s="401"/>
      <c r="C12" s="102" t="s">
        <v>457</v>
      </c>
      <c r="D12" s="276" t="s">
        <v>206</v>
      </c>
      <c r="E12" s="276">
        <v>20</v>
      </c>
      <c r="F12" s="283">
        <f>N12/83</f>
        <v>0.4795180722891566</v>
      </c>
      <c r="G12" s="287">
        <f>I12*0.2389*E12/100</f>
        <v>83.75833999999999</v>
      </c>
      <c r="H12" s="109">
        <f>J12/100*E12</f>
        <v>1.5</v>
      </c>
      <c r="I12" s="287">
        <v>1753</v>
      </c>
      <c r="J12" s="109">
        <v>7.5</v>
      </c>
      <c r="K12" s="392" t="s">
        <v>537</v>
      </c>
      <c r="L12" s="393"/>
      <c r="M12" s="283" t="s">
        <v>538</v>
      </c>
      <c r="N12" s="283">
        <f>29.9+9.9</f>
        <v>39.799999999999997</v>
      </c>
      <c r="O12" s="283" t="s">
        <v>465</v>
      </c>
      <c r="P12" s="422"/>
      <c r="Q12" s="13" t="s">
        <v>765</v>
      </c>
      <c r="R12" s="216" t="s">
        <v>814</v>
      </c>
    </row>
    <row r="13" spans="1:19" ht="15.6" x14ac:dyDescent="0.25">
      <c r="A13" s="401"/>
      <c r="B13" s="401"/>
      <c r="C13" s="102" t="s">
        <v>616</v>
      </c>
      <c r="D13" s="276" t="s">
        <v>87</v>
      </c>
      <c r="E13" s="276">
        <v>25.4</v>
      </c>
      <c r="F13" s="283">
        <f>N13/66*4</f>
        <v>0.84242424242424241</v>
      </c>
      <c r="G13" s="287">
        <f>I13*0.2389*E13/100</f>
        <v>142.78145179999999</v>
      </c>
      <c r="H13" s="109">
        <f>J13/100*E13</f>
        <v>1.8541999999999998</v>
      </c>
      <c r="I13" s="287">
        <v>2353</v>
      </c>
      <c r="J13" s="109">
        <v>7.3</v>
      </c>
      <c r="K13" s="392" t="s">
        <v>514</v>
      </c>
      <c r="L13" s="393"/>
      <c r="M13" s="283" t="s">
        <v>513</v>
      </c>
      <c r="N13" s="283">
        <v>13.9</v>
      </c>
      <c r="O13" s="283" t="s">
        <v>558</v>
      </c>
      <c r="P13" s="422"/>
      <c r="Q13" s="13" t="s">
        <v>766</v>
      </c>
    </row>
    <row r="14" spans="1:19" ht="15.6" x14ac:dyDescent="0.25">
      <c r="A14" s="401"/>
      <c r="B14" s="401"/>
      <c r="C14" s="102" t="s">
        <v>460</v>
      </c>
      <c r="D14" s="276" t="s">
        <v>47</v>
      </c>
      <c r="E14" s="276">
        <v>15</v>
      </c>
      <c r="F14" s="283">
        <v>0</v>
      </c>
      <c r="G14" s="123">
        <f>G7</f>
        <v>34.544940000000004</v>
      </c>
      <c r="H14" s="286">
        <f>H7</f>
        <v>6.0150000000000006</v>
      </c>
      <c r="I14" s="123"/>
      <c r="J14" s="286"/>
      <c r="K14" s="283"/>
      <c r="L14" s="283"/>
      <c r="M14" s="283"/>
      <c r="N14" s="283"/>
      <c r="O14" s="283"/>
      <c r="P14" s="422"/>
      <c r="Q14" s="13"/>
    </row>
    <row r="15" spans="1:19" ht="16.8" thickBot="1" x14ac:dyDescent="0.3">
      <c r="A15" s="401"/>
      <c r="B15" s="404"/>
      <c r="C15" s="387" t="s">
        <v>356</v>
      </c>
      <c r="D15" s="384"/>
      <c r="E15" s="97">
        <f>SUM(E9:E14)</f>
        <v>192.9</v>
      </c>
      <c r="F15" s="98">
        <f>SUM(F9:F14)</f>
        <v>4.2362339813800656</v>
      </c>
      <c r="G15" s="124">
        <f t="shared" ref="G15:H15" si="4">SUM(G9:G14)</f>
        <v>774.08067429999994</v>
      </c>
      <c r="H15" s="111">
        <f t="shared" si="4"/>
        <v>24.520199999999999</v>
      </c>
      <c r="I15" s="124"/>
      <c r="J15" s="111"/>
      <c r="K15" s="59"/>
      <c r="L15" s="59"/>
      <c r="M15" s="59"/>
      <c r="N15" s="59">
        <f>SUM(N9:N14)</f>
        <v>120.15</v>
      </c>
      <c r="O15" s="59"/>
      <c r="P15" s="423"/>
      <c r="Q15" s="151"/>
    </row>
    <row r="16" spans="1:19" ht="15.6" x14ac:dyDescent="0.25">
      <c r="A16" s="401"/>
      <c r="B16" s="405" t="s">
        <v>386</v>
      </c>
      <c r="C16" s="388" t="s">
        <v>617</v>
      </c>
      <c r="D16" s="16" t="s">
        <v>37</v>
      </c>
      <c r="E16" s="16">
        <v>40</v>
      </c>
      <c r="F16" s="296">
        <v>0</v>
      </c>
      <c r="G16" s="144">
        <f>I16*0.2389/100*E16</f>
        <v>183.09296000000001</v>
      </c>
      <c r="H16" s="138">
        <f>J16/100*E16</f>
        <v>1.7999999999999998</v>
      </c>
      <c r="I16" s="144">
        <v>1916</v>
      </c>
      <c r="J16" s="138">
        <v>4.5</v>
      </c>
      <c r="K16" s="296"/>
      <c r="L16" s="296"/>
      <c r="M16" s="296"/>
      <c r="N16" s="296"/>
      <c r="O16" s="296"/>
      <c r="P16" s="435" t="s">
        <v>361</v>
      </c>
      <c r="Q16" s="152" t="s">
        <v>767</v>
      </c>
    </row>
    <row r="17" spans="1:18" ht="15.6" x14ac:dyDescent="0.25">
      <c r="A17" s="401"/>
      <c r="B17" s="401"/>
      <c r="C17" s="389"/>
      <c r="D17" s="276" t="s">
        <v>42</v>
      </c>
      <c r="E17" s="276">
        <v>93.8</v>
      </c>
      <c r="F17" s="283">
        <f>N17/16/2</f>
        <v>1.71875</v>
      </c>
      <c r="G17" s="126">
        <f t="shared" ref="G17:G18" si="5">I17*0.2389/100*E17</f>
        <v>382.51855739999996</v>
      </c>
      <c r="H17" s="113">
        <f t="shared" ref="H17:H18" si="6">J17/100*E17</f>
        <v>10.693200000000001</v>
      </c>
      <c r="I17" s="287">
        <v>1707</v>
      </c>
      <c r="J17" s="109">
        <v>11.4</v>
      </c>
      <c r="K17" s="392" t="s">
        <v>517</v>
      </c>
      <c r="L17" s="393"/>
      <c r="M17" s="283" t="s">
        <v>518</v>
      </c>
      <c r="N17" s="283">
        <v>55</v>
      </c>
      <c r="O17" s="283" t="s">
        <v>519</v>
      </c>
      <c r="P17" s="425"/>
      <c r="Q17" s="13" t="s">
        <v>768</v>
      </c>
      <c r="R17" s="216" t="s">
        <v>815</v>
      </c>
    </row>
    <row r="18" spans="1:18" ht="15.6" x14ac:dyDescent="0.25">
      <c r="A18" s="401"/>
      <c r="B18" s="401"/>
      <c r="C18" s="102" t="s">
        <v>618</v>
      </c>
      <c r="D18" s="276" t="s">
        <v>476</v>
      </c>
      <c r="E18" s="276">
        <v>55.5</v>
      </c>
      <c r="F18" s="283">
        <f>N18/36</f>
        <v>0.94166666666666665</v>
      </c>
      <c r="G18" s="126">
        <f t="shared" si="5"/>
        <v>175.4159085</v>
      </c>
      <c r="H18" s="113">
        <f t="shared" si="6"/>
        <v>4.9950000000000001</v>
      </c>
      <c r="I18" s="287">
        <v>1323</v>
      </c>
      <c r="J18" s="109">
        <v>9</v>
      </c>
      <c r="K18" s="392" t="s">
        <v>474</v>
      </c>
      <c r="L18" s="393"/>
      <c r="M18" s="283" t="s">
        <v>425</v>
      </c>
      <c r="N18" s="283">
        <v>33.9</v>
      </c>
      <c r="O18" s="283" t="s">
        <v>465</v>
      </c>
      <c r="P18" s="425"/>
      <c r="Q18" s="13" t="s">
        <v>477</v>
      </c>
      <c r="R18" s="216" t="s">
        <v>816</v>
      </c>
    </row>
    <row r="19" spans="1:18" ht="15.6" x14ac:dyDescent="0.25">
      <c r="A19" s="401"/>
      <c r="B19" s="401"/>
      <c r="C19" s="102" t="s">
        <v>460</v>
      </c>
      <c r="D19" s="276" t="s">
        <v>47</v>
      </c>
      <c r="E19" s="276">
        <v>15</v>
      </c>
      <c r="F19" s="283">
        <v>0</v>
      </c>
      <c r="G19" s="123">
        <f>G7</f>
        <v>34.544940000000004</v>
      </c>
      <c r="H19" s="286">
        <f>H7</f>
        <v>6.0150000000000006</v>
      </c>
      <c r="I19" s="123"/>
      <c r="J19" s="286"/>
      <c r="K19" s="283"/>
      <c r="L19" s="283"/>
      <c r="M19" s="283"/>
      <c r="N19" s="283"/>
      <c r="O19" s="283"/>
      <c r="P19" s="425"/>
      <c r="Q19" s="13"/>
    </row>
    <row r="20" spans="1:18" ht="16.8" thickBot="1" x14ac:dyDescent="0.3">
      <c r="A20" s="402"/>
      <c r="B20" s="402"/>
      <c r="C20" s="390" t="s">
        <v>356</v>
      </c>
      <c r="D20" s="391"/>
      <c r="E20" s="99">
        <f>SUM(E16:E19)</f>
        <v>204.3</v>
      </c>
      <c r="F20" s="100">
        <f>SUM(F16:F19)</f>
        <v>2.6604166666666664</v>
      </c>
      <c r="G20" s="141">
        <f t="shared" ref="G20:H20" si="7">SUM(G16:G19)</f>
        <v>775.57236589999991</v>
      </c>
      <c r="H20" s="135">
        <f t="shared" si="7"/>
        <v>23.503200000000003</v>
      </c>
      <c r="I20" s="141"/>
      <c r="J20" s="135"/>
      <c r="K20" s="156"/>
      <c r="L20" s="156"/>
      <c r="M20" s="156"/>
      <c r="N20" s="156">
        <f>SUM(N17:N19)</f>
        <v>88.9</v>
      </c>
      <c r="O20" s="156"/>
      <c r="P20" s="426"/>
      <c r="Q20" s="155"/>
    </row>
    <row r="21" spans="1:18" thickTop="1" x14ac:dyDescent="0.25">
      <c r="A21" s="436" t="s">
        <v>372</v>
      </c>
      <c r="B21" s="407" t="s">
        <v>375</v>
      </c>
      <c r="C21" s="285" t="s">
        <v>618</v>
      </c>
      <c r="D21" s="281" t="s">
        <v>366</v>
      </c>
      <c r="E21" s="281">
        <v>100</v>
      </c>
      <c r="F21" s="288">
        <f>N21/35</f>
        <v>1.4942857142857144</v>
      </c>
      <c r="G21" s="126">
        <f>I21*0.2389/100*E21</f>
        <v>397.05180000000001</v>
      </c>
      <c r="H21" s="115">
        <f>J21/100*E21</f>
        <v>8.5</v>
      </c>
      <c r="I21" s="126">
        <v>1662</v>
      </c>
      <c r="J21" s="113">
        <v>8.5</v>
      </c>
      <c r="K21" s="437" t="s">
        <v>469</v>
      </c>
      <c r="L21" s="437"/>
      <c r="M21" s="288" t="s">
        <v>468</v>
      </c>
      <c r="N21" s="288">
        <f>14.8*3+7.9</f>
        <v>52.300000000000004</v>
      </c>
      <c r="O21" s="288" t="s">
        <v>465</v>
      </c>
      <c r="P21" s="414"/>
      <c r="Q21" s="150" t="s">
        <v>473</v>
      </c>
      <c r="R21" s="216" t="s">
        <v>817</v>
      </c>
    </row>
    <row r="22" spans="1:18" ht="15.6" x14ac:dyDescent="0.25">
      <c r="A22" s="401"/>
      <c r="B22" s="401"/>
      <c r="C22" s="102" t="s">
        <v>458</v>
      </c>
      <c r="D22" s="276" t="s">
        <v>367</v>
      </c>
      <c r="E22" s="276">
        <v>50</v>
      </c>
      <c r="F22" s="283">
        <f>N22/48</f>
        <v>0.99374999999999991</v>
      </c>
      <c r="G22" s="287">
        <f>G5</f>
        <v>256.69805000000002</v>
      </c>
      <c r="H22" s="109">
        <f>H5</f>
        <v>5.05</v>
      </c>
      <c r="I22" s="123"/>
      <c r="J22" s="286"/>
      <c r="K22" s="392" t="s">
        <v>771</v>
      </c>
      <c r="L22" s="393"/>
      <c r="M22" s="283" t="s">
        <v>496</v>
      </c>
      <c r="N22" s="283">
        <f>38.8+8.9</f>
        <v>47.699999999999996</v>
      </c>
      <c r="O22" s="283" t="s">
        <v>465</v>
      </c>
      <c r="P22" s="414"/>
      <c r="Q22" s="13" t="s">
        <v>769</v>
      </c>
      <c r="R22" s="216" t="s">
        <v>818</v>
      </c>
    </row>
    <row r="23" spans="1:18" ht="15.6" x14ac:dyDescent="0.25">
      <c r="A23" s="401"/>
      <c r="B23" s="401"/>
      <c r="C23" s="102" t="s">
        <v>619</v>
      </c>
      <c r="D23" s="276" t="s">
        <v>525</v>
      </c>
      <c r="E23" s="276">
        <v>28</v>
      </c>
      <c r="F23" s="283">
        <f>F28</f>
        <v>0.84705882352941175</v>
      </c>
      <c r="G23" s="126">
        <f>G28</f>
        <v>61.574086000000001</v>
      </c>
      <c r="H23" s="113">
        <f>H28</f>
        <v>6.3</v>
      </c>
      <c r="I23" s="287"/>
      <c r="J23" s="109"/>
      <c r="K23" s="392" t="s">
        <v>529</v>
      </c>
      <c r="L23" s="393"/>
      <c r="M23" s="283"/>
      <c r="N23" s="283"/>
      <c r="O23" s="283"/>
      <c r="P23" s="414"/>
      <c r="Q23" s="13"/>
    </row>
    <row r="24" spans="1:18" ht="15.6" x14ac:dyDescent="0.25">
      <c r="A24" s="401"/>
      <c r="B24" s="401"/>
      <c r="C24" s="102" t="s">
        <v>460</v>
      </c>
      <c r="D24" s="276" t="s">
        <v>47</v>
      </c>
      <c r="E24" s="276">
        <v>30</v>
      </c>
      <c r="F24" s="283">
        <v>0</v>
      </c>
      <c r="G24" s="287">
        <f t="shared" ref="G24" si="8">I24*0.2389*E24/100</f>
        <v>69.089880000000008</v>
      </c>
      <c r="H24" s="109">
        <f t="shared" ref="H24" si="9">J24/100*E24</f>
        <v>12.030000000000001</v>
      </c>
      <c r="I24" s="123">
        <v>964</v>
      </c>
      <c r="J24" s="286">
        <v>40.1</v>
      </c>
      <c r="K24" s="283"/>
      <c r="L24" s="283"/>
      <c r="M24" s="283"/>
      <c r="N24" s="283"/>
      <c r="O24" s="283"/>
      <c r="P24" s="414"/>
      <c r="Q24" s="13"/>
    </row>
    <row r="25" spans="1:18" ht="16.8" thickBot="1" x14ac:dyDescent="0.3">
      <c r="A25" s="401"/>
      <c r="B25" s="404"/>
      <c r="C25" s="383" t="s">
        <v>356</v>
      </c>
      <c r="D25" s="384"/>
      <c r="E25" s="97">
        <f>SUM(E21:E24)</f>
        <v>208</v>
      </c>
      <c r="F25" s="98">
        <f>SUM(F21:F24)</f>
        <v>3.335094537815126</v>
      </c>
      <c r="G25" s="124">
        <f t="shared" ref="G25:H25" si="10">SUM(G21:G24)</f>
        <v>784.413816</v>
      </c>
      <c r="H25" s="111">
        <f t="shared" si="10"/>
        <v>31.880000000000003</v>
      </c>
      <c r="I25" s="130"/>
      <c r="J25" s="117"/>
      <c r="K25" s="78"/>
      <c r="L25" s="78"/>
      <c r="M25" s="78"/>
      <c r="N25" s="78">
        <f>SUM(N21:N24)</f>
        <v>100</v>
      </c>
      <c r="O25" s="78"/>
      <c r="P25" s="415"/>
      <c r="Q25" s="151"/>
    </row>
    <row r="26" spans="1:18" ht="15.6" x14ac:dyDescent="0.25">
      <c r="A26" s="401"/>
      <c r="B26" s="405" t="s">
        <v>376</v>
      </c>
      <c r="C26" s="104" t="s">
        <v>618</v>
      </c>
      <c r="D26" s="16" t="s">
        <v>249</v>
      </c>
      <c r="E26" s="16">
        <v>80</v>
      </c>
      <c r="F26" s="296">
        <f>N26/35</f>
        <v>1.7628571428571427</v>
      </c>
      <c r="G26" s="125">
        <f>I26*0.2389/100*E26</f>
        <v>303.49856</v>
      </c>
      <c r="H26" s="112">
        <f>J26/100*E26</f>
        <v>6.6400000000000006</v>
      </c>
      <c r="I26" s="125">
        <v>1588</v>
      </c>
      <c r="J26" s="112">
        <v>8.3000000000000007</v>
      </c>
      <c r="K26" s="394" t="s">
        <v>490</v>
      </c>
      <c r="L26" s="395"/>
      <c r="M26" s="296" t="s">
        <v>491</v>
      </c>
      <c r="N26" s="296">
        <f>33.9+17.9+9.9</f>
        <v>61.699999999999996</v>
      </c>
      <c r="O26" s="296" t="s">
        <v>465</v>
      </c>
      <c r="P26" s="416"/>
      <c r="Q26" s="152" t="s">
        <v>492</v>
      </c>
      <c r="R26" s="216" t="s">
        <v>819</v>
      </c>
    </row>
    <row r="27" spans="1:18" ht="15.6" x14ac:dyDescent="0.25">
      <c r="A27" s="401"/>
      <c r="B27" s="401"/>
      <c r="C27" s="102" t="s">
        <v>618</v>
      </c>
      <c r="D27" s="276" t="s">
        <v>369</v>
      </c>
      <c r="E27" s="276">
        <v>30</v>
      </c>
      <c r="F27" s="283">
        <f>N27/34</f>
        <v>0.67352941176470582</v>
      </c>
      <c r="G27" s="128">
        <f t="shared" ref="G27:G29" si="11">I27*0.2389/100*E27</f>
        <v>133.16285999999999</v>
      </c>
      <c r="H27" s="115">
        <f t="shared" ref="H27:H29" si="12">J27/100*E27</f>
        <v>1.38</v>
      </c>
      <c r="I27" s="287">
        <v>1858</v>
      </c>
      <c r="J27" s="109">
        <v>4.5999999999999996</v>
      </c>
      <c r="K27" s="392" t="s">
        <v>522</v>
      </c>
      <c r="L27" s="393"/>
      <c r="M27" s="283" t="s">
        <v>501</v>
      </c>
      <c r="N27" s="283">
        <v>22.9</v>
      </c>
      <c r="O27" s="283" t="s">
        <v>511</v>
      </c>
      <c r="P27" s="414"/>
      <c r="Q27" s="13" t="s">
        <v>774</v>
      </c>
      <c r="R27" s="216" t="s">
        <v>820</v>
      </c>
    </row>
    <row r="28" spans="1:18" ht="15.6" x14ac:dyDescent="0.25">
      <c r="A28" s="401"/>
      <c r="B28" s="401"/>
      <c r="C28" s="102" t="s">
        <v>619</v>
      </c>
      <c r="D28" s="276" t="s">
        <v>525</v>
      </c>
      <c r="E28" s="276">
        <v>28</v>
      </c>
      <c r="F28" s="283">
        <f>N28/5/17</f>
        <v>0.84705882352941175</v>
      </c>
      <c r="G28" s="128">
        <f>G42/60*28</f>
        <v>61.574086000000001</v>
      </c>
      <c r="H28" s="115">
        <f>H42/60*28</f>
        <v>6.3</v>
      </c>
      <c r="I28" s="287"/>
      <c r="J28" s="109"/>
      <c r="K28" s="392" t="s">
        <v>772</v>
      </c>
      <c r="L28" s="393"/>
      <c r="M28" s="283" t="s">
        <v>169</v>
      </c>
      <c r="N28" s="283">
        <v>72</v>
      </c>
      <c r="O28" s="283" t="s">
        <v>309</v>
      </c>
      <c r="P28" s="414"/>
      <c r="Q28" s="13" t="s">
        <v>773</v>
      </c>
      <c r="R28" s="216" t="s">
        <v>821</v>
      </c>
    </row>
    <row r="29" spans="1:18" ht="15.6" x14ac:dyDescent="0.25">
      <c r="A29" s="401"/>
      <c r="B29" s="401"/>
      <c r="C29" s="102" t="s">
        <v>619</v>
      </c>
      <c r="D29" s="276" t="s">
        <v>22</v>
      </c>
      <c r="E29" s="276">
        <v>31.3</v>
      </c>
      <c r="F29" s="283">
        <f>N29/16/2</f>
        <v>0.93125000000000002</v>
      </c>
      <c r="G29" s="128">
        <f t="shared" si="11"/>
        <v>109.6959519</v>
      </c>
      <c r="H29" s="115">
        <f t="shared" si="12"/>
        <v>0.37559999999999999</v>
      </c>
      <c r="I29" s="287">
        <v>1467</v>
      </c>
      <c r="J29" s="109">
        <v>1.2</v>
      </c>
      <c r="K29" s="392" t="s">
        <v>494</v>
      </c>
      <c r="L29" s="393"/>
      <c r="M29" s="283" t="s">
        <v>421</v>
      </c>
      <c r="N29" s="283">
        <v>29.8</v>
      </c>
      <c r="O29" s="283" t="s">
        <v>436</v>
      </c>
      <c r="P29" s="414"/>
      <c r="Q29" s="13" t="s">
        <v>775</v>
      </c>
      <c r="R29" s="216" t="s">
        <v>822</v>
      </c>
    </row>
    <row r="30" spans="1:18" ht="15.6" x14ac:dyDescent="0.25">
      <c r="A30" s="401"/>
      <c r="B30" s="401"/>
      <c r="C30" s="102" t="s">
        <v>460</v>
      </c>
      <c r="D30" s="276" t="s">
        <v>47</v>
      </c>
      <c r="E30" s="276">
        <v>30</v>
      </c>
      <c r="F30" s="283">
        <v>0</v>
      </c>
      <c r="G30" s="123">
        <f>G24</f>
        <v>69.089880000000008</v>
      </c>
      <c r="H30" s="286">
        <f>H24</f>
        <v>12.030000000000001</v>
      </c>
      <c r="I30" s="123"/>
      <c r="J30" s="286"/>
      <c r="K30" s="283"/>
      <c r="L30" s="283"/>
      <c r="M30" s="283"/>
      <c r="N30" s="283"/>
      <c r="O30" s="283"/>
      <c r="P30" s="414"/>
      <c r="Q30" s="13"/>
    </row>
    <row r="31" spans="1:18" ht="16.8" thickBot="1" x14ac:dyDescent="0.3">
      <c r="A31" s="401"/>
      <c r="B31" s="404"/>
      <c r="C31" s="383" t="s">
        <v>356</v>
      </c>
      <c r="D31" s="384"/>
      <c r="E31" s="97">
        <f>SUM(E26:E30)</f>
        <v>199.3</v>
      </c>
      <c r="F31" s="98">
        <f>SUM(F26:F30)</f>
        <v>4.2146953781512604</v>
      </c>
      <c r="G31" s="124">
        <f t="shared" ref="G31:H31" si="13">SUM(G26:G30)</f>
        <v>677.02133790000005</v>
      </c>
      <c r="H31" s="111">
        <f t="shared" si="13"/>
        <v>26.7256</v>
      </c>
      <c r="I31" s="130"/>
      <c r="J31" s="117"/>
      <c r="K31" s="80"/>
      <c r="L31" s="80"/>
      <c r="M31" s="80"/>
      <c r="N31" s="78">
        <f>SUM(N26:N30)</f>
        <v>186.4</v>
      </c>
      <c r="O31" s="80"/>
      <c r="P31" s="415"/>
      <c r="Q31" s="151"/>
    </row>
    <row r="32" spans="1:18" ht="15.6" x14ac:dyDescent="0.25">
      <c r="A32" s="401"/>
      <c r="B32" s="405" t="s">
        <v>377</v>
      </c>
      <c r="C32" s="104" t="s">
        <v>618</v>
      </c>
      <c r="D32" s="16" t="s">
        <v>470</v>
      </c>
      <c r="E32" s="16">
        <v>50</v>
      </c>
      <c r="F32" s="296">
        <f>N32/16</f>
        <v>1.1125</v>
      </c>
      <c r="G32" s="144">
        <f>I32*0.2389/100*E32</f>
        <v>160.54079999999999</v>
      </c>
      <c r="H32" s="138">
        <f>J32/100*E32</f>
        <v>4.45</v>
      </c>
      <c r="I32" s="153">
        <v>1344</v>
      </c>
      <c r="J32" s="154">
        <v>8.9</v>
      </c>
      <c r="K32" s="434" t="s">
        <v>471</v>
      </c>
      <c r="L32" s="434"/>
      <c r="M32" s="289" t="s">
        <v>472</v>
      </c>
      <c r="N32" s="289">
        <v>17.8</v>
      </c>
      <c r="O32" s="289" t="s">
        <v>465</v>
      </c>
      <c r="P32" s="416"/>
      <c r="Q32" s="152" t="s">
        <v>776</v>
      </c>
      <c r="R32" s="216" t="s">
        <v>823</v>
      </c>
    </row>
    <row r="33" spans="1:18" ht="15.6" x14ac:dyDescent="0.25">
      <c r="A33" s="401"/>
      <c r="B33" s="401"/>
      <c r="C33" s="102" t="s">
        <v>618</v>
      </c>
      <c r="D33" s="276" t="s">
        <v>479</v>
      </c>
      <c r="E33" s="276">
        <v>41.6</v>
      </c>
      <c r="F33" s="283">
        <f>N33/24</f>
        <v>0.82500000000000007</v>
      </c>
      <c r="G33" s="123">
        <f>I33*0.2389/100*E33</f>
        <v>147.78162880000002</v>
      </c>
      <c r="H33" s="286">
        <f>J33/100*E33</f>
        <v>2.9952000000000005</v>
      </c>
      <c r="I33" s="287">
        <v>1487</v>
      </c>
      <c r="J33" s="109">
        <v>7.2</v>
      </c>
      <c r="K33" s="392" t="s">
        <v>480</v>
      </c>
      <c r="L33" s="393"/>
      <c r="M33" s="283" t="s">
        <v>421</v>
      </c>
      <c r="N33" s="283">
        <f>9.9*2</f>
        <v>19.8</v>
      </c>
      <c r="O33" s="283" t="s">
        <v>465</v>
      </c>
      <c r="P33" s="414"/>
      <c r="Q33" s="13" t="s">
        <v>482</v>
      </c>
      <c r="R33" s="216" t="s">
        <v>824</v>
      </c>
    </row>
    <row r="34" spans="1:18" ht="15.6" x14ac:dyDescent="0.25">
      <c r="A34" s="401"/>
      <c r="B34" s="401"/>
      <c r="C34" s="102" t="s">
        <v>458</v>
      </c>
      <c r="D34" s="276" t="s">
        <v>367</v>
      </c>
      <c r="E34" s="276">
        <v>50</v>
      </c>
      <c r="F34" s="283">
        <f>F22</f>
        <v>0.99374999999999991</v>
      </c>
      <c r="G34" s="287">
        <f>G5</f>
        <v>256.69805000000002</v>
      </c>
      <c r="H34" s="109">
        <f>H5</f>
        <v>5.05</v>
      </c>
      <c r="I34" s="287"/>
      <c r="J34" s="109"/>
      <c r="K34" s="392" t="s">
        <v>497</v>
      </c>
      <c r="L34" s="393"/>
      <c r="M34" s="283"/>
      <c r="N34" s="283"/>
      <c r="O34" s="283"/>
      <c r="P34" s="414"/>
      <c r="Q34" s="13"/>
    </row>
    <row r="35" spans="1:18" ht="15.6" x14ac:dyDescent="0.25">
      <c r="A35" s="401"/>
      <c r="B35" s="401"/>
      <c r="C35" s="102" t="s">
        <v>619</v>
      </c>
      <c r="D35" s="276" t="s">
        <v>525</v>
      </c>
      <c r="E35" s="276">
        <v>28</v>
      </c>
      <c r="F35" s="283">
        <f>F28</f>
        <v>0.84705882352941175</v>
      </c>
      <c r="G35" s="287">
        <f>G28</f>
        <v>61.574086000000001</v>
      </c>
      <c r="H35" s="109">
        <f>H28</f>
        <v>6.3</v>
      </c>
      <c r="I35" s="287"/>
      <c r="J35" s="109"/>
      <c r="K35" s="392" t="s">
        <v>529</v>
      </c>
      <c r="L35" s="393"/>
      <c r="M35" s="283"/>
      <c r="N35" s="283"/>
      <c r="O35" s="283"/>
      <c r="P35" s="414"/>
      <c r="Q35" s="13"/>
    </row>
    <row r="36" spans="1:18" ht="15.6" x14ac:dyDescent="0.25">
      <c r="A36" s="401"/>
      <c r="B36" s="401"/>
      <c r="C36" s="102" t="s">
        <v>619</v>
      </c>
      <c r="D36" s="276" t="s">
        <v>534</v>
      </c>
      <c r="E36" s="276">
        <v>15</v>
      </c>
      <c r="F36" s="283">
        <f>N36/20</f>
        <v>0.495</v>
      </c>
      <c r="G36" s="287">
        <f>22.2/100*E36</f>
        <v>3.33</v>
      </c>
      <c r="H36" s="109">
        <f>1.3/100*E36</f>
        <v>0.19500000000000001</v>
      </c>
      <c r="I36" s="287"/>
      <c r="J36" s="109"/>
      <c r="K36" s="392" t="s">
        <v>535</v>
      </c>
      <c r="L36" s="393"/>
      <c r="M36" s="283" t="s">
        <v>343</v>
      </c>
      <c r="N36" s="283">
        <v>9.9</v>
      </c>
      <c r="O36" s="283" t="s">
        <v>536</v>
      </c>
      <c r="P36" s="414"/>
      <c r="Q36" s="13" t="s">
        <v>777</v>
      </c>
      <c r="R36" s="216" t="s">
        <v>825</v>
      </c>
    </row>
    <row r="37" spans="1:18" ht="15.6" x14ac:dyDescent="0.25">
      <c r="A37" s="401"/>
      <c r="B37" s="401"/>
      <c r="C37" s="102" t="s">
        <v>460</v>
      </c>
      <c r="D37" s="276" t="s">
        <v>47</v>
      </c>
      <c r="E37" s="276">
        <v>30</v>
      </c>
      <c r="F37" s="283">
        <v>0</v>
      </c>
      <c r="G37" s="123">
        <f>G24</f>
        <v>69.089880000000008</v>
      </c>
      <c r="H37" s="286">
        <f>H24</f>
        <v>12.030000000000001</v>
      </c>
      <c r="I37" s="123"/>
      <c r="J37" s="286"/>
      <c r="K37" s="283"/>
      <c r="L37" s="283"/>
      <c r="M37" s="283"/>
      <c r="N37" s="283"/>
      <c r="O37" s="283"/>
      <c r="P37" s="414"/>
      <c r="Q37" s="13"/>
    </row>
    <row r="38" spans="1:18" ht="16.8" thickBot="1" x14ac:dyDescent="0.3">
      <c r="A38" s="401"/>
      <c r="B38" s="404"/>
      <c r="C38" s="383" t="s">
        <v>356</v>
      </c>
      <c r="D38" s="384"/>
      <c r="E38" s="97">
        <f>SUM(E32:E37)</f>
        <v>214.6</v>
      </c>
      <c r="F38" s="98">
        <f>SUM(F32:F37)</f>
        <v>4.2733088235294119</v>
      </c>
      <c r="G38" s="124">
        <f t="shared" ref="G38:H38" si="14">SUM(G32:G37)</f>
        <v>699.01444480000009</v>
      </c>
      <c r="H38" s="111">
        <f t="shared" si="14"/>
        <v>31.020200000000003</v>
      </c>
      <c r="I38" s="130"/>
      <c r="J38" s="117"/>
      <c r="K38" s="80"/>
      <c r="L38" s="80"/>
      <c r="M38" s="80"/>
      <c r="N38" s="78">
        <f>SUM(N32:N37)</f>
        <v>47.5</v>
      </c>
      <c r="O38" s="80"/>
      <c r="P38" s="415"/>
      <c r="Q38" s="151"/>
    </row>
    <row r="39" spans="1:18" ht="15.6" x14ac:dyDescent="0.25">
      <c r="A39" s="401"/>
      <c r="B39" s="405" t="s">
        <v>385</v>
      </c>
      <c r="C39" s="104" t="s">
        <v>618</v>
      </c>
      <c r="D39" s="16" t="s">
        <v>483</v>
      </c>
      <c r="E39" s="16">
        <v>50</v>
      </c>
      <c r="F39" s="296">
        <f>N39/32</f>
        <v>1.0562499999999999</v>
      </c>
      <c r="G39" s="125">
        <f>I39*0.2389/100*E39</f>
        <v>166.15495000000001</v>
      </c>
      <c r="H39" s="112">
        <f>J39/100*E39</f>
        <v>4.05</v>
      </c>
      <c r="I39" s="125">
        <v>1391</v>
      </c>
      <c r="J39" s="112">
        <v>8.1</v>
      </c>
      <c r="K39" s="394" t="s">
        <v>484</v>
      </c>
      <c r="L39" s="395"/>
      <c r="M39" s="289" t="s">
        <v>463</v>
      </c>
      <c r="N39" s="289">
        <f>16.9*2</f>
        <v>33.799999999999997</v>
      </c>
      <c r="O39" s="289" t="s">
        <v>465</v>
      </c>
      <c r="P39" s="416"/>
      <c r="Q39" s="152" t="s">
        <v>778</v>
      </c>
      <c r="R39" s="216" t="s">
        <v>826</v>
      </c>
    </row>
    <row r="40" spans="1:18" ht="15.6" x14ac:dyDescent="0.25">
      <c r="A40" s="401"/>
      <c r="B40" s="401"/>
      <c r="C40" s="102" t="s">
        <v>618</v>
      </c>
      <c r="D40" s="276" t="s">
        <v>206</v>
      </c>
      <c r="E40" s="276">
        <v>40</v>
      </c>
      <c r="F40" s="283">
        <f>F12*2</f>
        <v>0.95903614457831321</v>
      </c>
      <c r="G40" s="128">
        <f t="shared" ref="G40:G42" si="15">I40*0.2389/100*E40</f>
        <v>167.51667999999998</v>
      </c>
      <c r="H40" s="115">
        <f t="shared" ref="H40:H42" si="16">J40/100*E40</f>
        <v>3</v>
      </c>
      <c r="I40" s="287">
        <v>1753</v>
      </c>
      <c r="J40" s="109">
        <v>7.5</v>
      </c>
      <c r="K40" s="392" t="s">
        <v>540</v>
      </c>
      <c r="L40" s="393"/>
      <c r="M40" s="283"/>
      <c r="N40" s="283"/>
      <c r="O40" s="283"/>
      <c r="P40" s="414"/>
      <c r="Q40" s="13"/>
    </row>
    <row r="41" spans="1:18" ht="15.6" x14ac:dyDescent="0.25">
      <c r="A41" s="401"/>
      <c r="B41" s="401"/>
      <c r="C41" s="102" t="s">
        <v>460</v>
      </c>
      <c r="D41" s="276" t="s">
        <v>541</v>
      </c>
      <c r="E41" s="276">
        <v>32</v>
      </c>
      <c r="F41" s="283">
        <f>N41/20</f>
        <v>1.0900000000000001</v>
      </c>
      <c r="G41" s="128">
        <f t="shared" si="15"/>
        <v>61.540640000000003</v>
      </c>
      <c r="H41" s="115">
        <f t="shared" si="16"/>
        <v>3.52</v>
      </c>
      <c r="I41" s="287">
        <v>805</v>
      </c>
      <c r="J41" s="109">
        <v>11</v>
      </c>
      <c r="K41" s="392" t="s">
        <v>971</v>
      </c>
      <c r="L41" s="393"/>
      <c r="M41" s="283" t="s">
        <v>556</v>
      </c>
      <c r="N41" s="283">
        <f>10.9*2</f>
        <v>21.8</v>
      </c>
      <c r="O41" s="283" t="s">
        <v>558</v>
      </c>
      <c r="P41" s="414"/>
      <c r="Q41" s="13" t="s">
        <v>761</v>
      </c>
    </row>
    <row r="42" spans="1:18" ht="15.6" x14ac:dyDescent="0.25">
      <c r="A42" s="401"/>
      <c r="B42" s="401"/>
      <c r="C42" s="102" t="s">
        <v>619</v>
      </c>
      <c r="D42" s="276" t="s">
        <v>524</v>
      </c>
      <c r="E42" s="276">
        <v>60</v>
      </c>
      <c r="F42" s="283">
        <f>N42/40</f>
        <v>1.6247499999999999</v>
      </c>
      <c r="G42" s="126">
        <f t="shared" si="15"/>
        <v>131.94447</v>
      </c>
      <c r="H42" s="113">
        <f t="shared" si="16"/>
        <v>13.5</v>
      </c>
      <c r="I42" s="287">
        <v>920.5</v>
      </c>
      <c r="J42" s="109">
        <v>22.5</v>
      </c>
      <c r="K42" s="392" t="s">
        <v>671</v>
      </c>
      <c r="L42" s="393"/>
      <c r="M42" s="283" t="s">
        <v>702</v>
      </c>
      <c r="N42" s="283">
        <v>64.989999999999995</v>
      </c>
      <c r="O42" s="283" t="s">
        <v>520</v>
      </c>
      <c r="P42" s="414"/>
      <c r="Q42" s="13" t="s">
        <v>703</v>
      </c>
      <c r="R42" s="216" t="s">
        <v>827</v>
      </c>
    </row>
    <row r="43" spans="1:18" ht="15.6" x14ac:dyDescent="0.25">
      <c r="A43" s="401"/>
      <c r="B43" s="401"/>
      <c r="C43" s="102" t="s">
        <v>460</v>
      </c>
      <c r="D43" s="276" t="s">
        <v>47</v>
      </c>
      <c r="E43" s="276">
        <v>30</v>
      </c>
      <c r="F43" s="283">
        <v>0</v>
      </c>
      <c r="G43" s="123">
        <f>G24</f>
        <v>69.089880000000008</v>
      </c>
      <c r="H43" s="286">
        <f>H24</f>
        <v>12.030000000000001</v>
      </c>
      <c r="I43" s="123"/>
      <c r="J43" s="286"/>
      <c r="K43" s="283"/>
      <c r="L43" s="283"/>
      <c r="M43" s="283"/>
      <c r="N43" s="283"/>
      <c r="O43" s="283"/>
      <c r="P43" s="414"/>
      <c r="Q43" s="13"/>
    </row>
    <row r="44" spans="1:18" ht="16.8" thickBot="1" x14ac:dyDescent="0.3">
      <c r="A44" s="402"/>
      <c r="B44" s="402"/>
      <c r="C44" s="390" t="s">
        <v>356</v>
      </c>
      <c r="D44" s="391"/>
      <c r="E44" s="99">
        <f>SUM(E39:E43)</f>
        <v>212</v>
      </c>
      <c r="F44" s="100">
        <f>SUM(F39:F43)</f>
        <v>4.730036144578313</v>
      </c>
      <c r="G44" s="141">
        <f t="shared" ref="G44:H44" si="17">SUM(G39:G43)</f>
        <v>596.24662000000001</v>
      </c>
      <c r="H44" s="135">
        <f t="shared" si="17"/>
        <v>36.1</v>
      </c>
      <c r="I44" s="131"/>
      <c r="J44" s="118"/>
      <c r="K44" s="81"/>
      <c r="L44" s="81"/>
      <c r="M44" s="81"/>
      <c r="N44" s="95">
        <f>SUM(N39:N43)</f>
        <v>120.58999999999999</v>
      </c>
      <c r="O44" s="81"/>
      <c r="P44" s="417"/>
      <c r="Q44" s="155"/>
    </row>
    <row r="45" spans="1:18" ht="16.2" customHeight="1" thickTop="1" x14ac:dyDescent="0.25">
      <c r="A45" s="440" t="s">
        <v>389</v>
      </c>
      <c r="B45" s="440" t="s">
        <v>380</v>
      </c>
      <c r="C45" s="285" t="s">
        <v>620</v>
      </c>
      <c r="D45" s="281" t="s">
        <v>563</v>
      </c>
      <c r="E45" s="281">
        <f>12*2</f>
        <v>24</v>
      </c>
      <c r="F45" s="288">
        <f>N45/60</f>
        <v>1.69</v>
      </c>
      <c r="G45" s="128">
        <f>179*0.2389*2</f>
        <v>85.526200000000003</v>
      </c>
      <c r="H45" s="115">
        <f>2.6*2</f>
        <v>5.2</v>
      </c>
      <c r="I45" s="128"/>
      <c r="J45" s="115"/>
      <c r="K45" s="442" t="s">
        <v>562</v>
      </c>
      <c r="L45" s="443"/>
      <c r="M45" s="288" t="s">
        <v>521</v>
      </c>
      <c r="N45" s="288">
        <f>33.8*3</f>
        <v>101.39999999999999</v>
      </c>
      <c r="O45" s="288" t="s">
        <v>300</v>
      </c>
      <c r="P45" s="438" t="s">
        <v>576</v>
      </c>
      <c r="Q45" s="150" t="s">
        <v>564</v>
      </c>
      <c r="R45" s="216" t="s">
        <v>838</v>
      </c>
    </row>
    <row r="46" spans="1:18" ht="16.2" customHeight="1" x14ac:dyDescent="0.25">
      <c r="A46" s="440"/>
      <c r="B46" s="440"/>
      <c r="C46" s="102" t="s">
        <v>458</v>
      </c>
      <c r="D46" s="276" t="s">
        <v>63</v>
      </c>
      <c r="E46" s="276">
        <v>180</v>
      </c>
      <c r="F46" s="283">
        <f>N46/50</f>
        <v>1.238</v>
      </c>
      <c r="G46" s="287">
        <f>I46*0.2389/100*E46</f>
        <v>639.86976000000004</v>
      </c>
      <c r="H46" s="109">
        <f>J46/100*E46</f>
        <v>22.32</v>
      </c>
      <c r="I46" s="287">
        <v>1488</v>
      </c>
      <c r="J46" s="109">
        <v>12.4</v>
      </c>
      <c r="K46" s="392" t="s">
        <v>798</v>
      </c>
      <c r="L46" s="393"/>
      <c r="M46" s="283" t="s">
        <v>799</v>
      </c>
      <c r="N46" s="283">
        <v>61.9</v>
      </c>
      <c r="O46" s="283" t="s">
        <v>870</v>
      </c>
      <c r="P46" s="438"/>
      <c r="Q46" s="13" t="s">
        <v>800</v>
      </c>
      <c r="R46" s="216" t="s">
        <v>828</v>
      </c>
    </row>
    <row r="47" spans="1:18" ht="16.2" customHeight="1" x14ac:dyDescent="0.25">
      <c r="A47" s="440"/>
      <c r="B47" s="440"/>
      <c r="C47" s="102" t="s">
        <v>619</v>
      </c>
      <c r="D47" s="276" t="s">
        <v>62</v>
      </c>
      <c r="E47" s="276">
        <v>55</v>
      </c>
      <c r="F47" s="283">
        <f>N47/2500*55</f>
        <v>0.24156</v>
      </c>
      <c r="G47" s="287">
        <f t="shared" ref="G47:G48" si="18">I47*0.2389/100*E47</f>
        <v>99.99159499999999</v>
      </c>
      <c r="H47" s="109">
        <f t="shared" ref="H47:H48" si="19">J47/100*E47</f>
        <v>8.8000000000000007</v>
      </c>
      <c r="I47" s="287">
        <v>761</v>
      </c>
      <c r="J47" s="109">
        <v>16</v>
      </c>
      <c r="K47" s="392" t="s">
        <v>579</v>
      </c>
      <c r="L47" s="393"/>
      <c r="M47" s="283" t="s">
        <v>169</v>
      </c>
      <c r="N47" s="283">
        <v>10.98</v>
      </c>
      <c r="O47" s="283" t="s">
        <v>578</v>
      </c>
      <c r="P47" s="438"/>
      <c r="Q47" s="13" t="s">
        <v>779</v>
      </c>
      <c r="R47" s="216" t="s">
        <v>841</v>
      </c>
    </row>
    <row r="48" spans="1:18" ht="16.2" customHeight="1" x14ac:dyDescent="0.25">
      <c r="A48" s="440"/>
      <c r="B48" s="440"/>
      <c r="C48" s="102" t="s">
        <v>619</v>
      </c>
      <c r="D48" s="276" t="s">
        <v>61</v>
      </c>
      <c r="E48" s="276">
        <v>15.6</v>
      </c>
      <c r="F48" s="283">
        <f>N48/16/5</f>
        <v>3.1187499999999999</v>
      </c>
      <c r="G48" s="287">
        <f t="shared" si="18"/>
        <v>43.454954400000005</v>
      </c>
      <c r="H48" s="109">
        <f t="shared" si="19"/>
        <v>9.1727999999999987</v>
      </c>
      <c r="I48" s="287">
        <v>1166</v>
      </c>
      <c r="J48" s="109">
        <v>58.8</v>
      </c>
      <c r="K48" s="392" t="s">
        <v>791</v>
      </c>
      <c r="L48" s="393"/>
      <c r="M48" s="283" t="s">
        <v>792</v>
      </c>
      <c r="N48" s="283">
        <f>49.9*5</f>
        <v>249.5</v>
      </c>
      <c r="O48" s="283" t="s">
        <v>647</v>
      </c>
      <c r="P48" s="438"/>
      <c r="Q48" s="13" t="s">
        <v>780</v>
      </c>
      <c r="R48" s="216" t="s">
        <v>829</v>
      </c>
    </row>
    <row r="49" spans="1:18" ht="16.2" customHeight="1" x14ac:dyDescent="0.25">
      <c r="A49" s="440"/>
      <c r="B49" s="440"/>
      <c r="C49" s="102" t="s">
        <v>619</v>
      </c>
      <c r="D49" s="276" t="s">
        <v>533</v>
      </c>
      <c r="E49" s="276">
        <v>17.5</v>
      </c>
      <c r="F49" s="283">
        <f>N49/10/4</f>
        <v>0.49749999999999994</v>
      </c>
      <c r="G49" s="287">
        <f>G36/15*E49</f>
        <v>3.8850000000000002</v>
      </c>
      <c r="H49" s="109">
        <f>H36/15*E49</f>
        <v>0.22750000000000001</v>
      </c>
      <c r="I49" s="287"/>
      <c r="J49" s="109"/>
      <c r="K49" s="392" t="s">
        <v>649</v>
      </c>
      <c r="L49" s="393"/>
      <c r="M49" s="283" t="s">
        <v>650</v>
      </c>
      <c r="N49" s="283">
        <v>19.899999999999999</v>
      </c>
      <c r="O49" s="283" t="s">
        <v>532</v>
      </c>
      <c r="P49" s="438"/>
      <c r="Q49" s="13" t="s">
        <v>781</v>
      </c>
      <c r="R49" s="216" t="s">
        <v>830</v>
      </c>
    </row>
    <row r="50" spans="1:18" ht="16.2" customHeight="1" x14ac:dyDescent="0.25">
      <c r="A50" s="440"/>
      <c r="B50" s="440"/>
      <c r="C50" s="102" t="s">
        <v>457</v>
      </c>
      <c r="D50" s="276" t="s">
        <v>487</v>
      </c>
      <c r="E50" s="276">
        <f>23.5*2</f>
        <v>47</v>
      </c>
      <c r="F50" s="283">
        <f>N50/34</f>
        <v>0.99705882352941178</v>
      </c>
      <c r="G50" s="128">
        <f>I50*0.2389/100*E50</f>
        <v>172.24212199999999</v>
      </c>
      <c r="H50" s="115">
        <f>J50/100*E50</f>
        <v>3.1020000000000003</v>
      </c>
      <c r="I50" s="287">
        <v>1534</v>
      </c>
      <c r="J50" s="109">
        <v>6.6</v>
      </c>
      <c r="K50" s="392" t="s">
        <v>673</v>
      </c>
      <c r="L50" s="393"/>
      <c r="M50" s="283" t="s">
        <v>463</v>
      </c>
      <c r="N50" s="283">
        <v>33.9</v>
      </c>
      <c r="O50" s="283" t="s">
        <v>465</v>
      </c>
      <c r="P50" s="438"/>
      <c r="Q50" s="13" t="s">
        <v>674</v>
      </c>
      <c r="R50" s="216" t="s">
        <v>831</v>
      </c>
    </row>
    <row r="51" spans="1:18" ht="16.2" customHeight="1" x14ac:dyDescent="0.25">
      <c r="A51" s="440"/>
      <c r="B51" s="440"/>
      <c r="C51" s="102" t="s">
        <v>460</v>
      </c>
      <c r="D51" s="276" t="s">
        <v>47</v>
      </c>
      <c r="E51" s="276">
        <v>30</v>
      </c>
      <c r="F51" s="283">
        <v>0</v>
      </c>
      <c r="G51" s="287">
        <f t="shared" ref="G51" si="20">I51*0.2389*E51/100</f>
        <v>69.089880000000008</v>
      </c>
      <c r="H51" s="109">
        <f t="shared" ref="H51" si="21">J51/100*E51</f>
        <v>12.030000000000001</v>
      </c>
      <c r="I51" s="123">
        <v>964</v>
      </c>
      <c r="J51" s="286">
        <v>40.1</v>
      </c>
      <c r="K51" s="283"/>
      <c r="L51" s="283"/>
      <c r="M51" s="283"/>
      <c r="N51" s="283"/>
      <c r="O51" s="283"/>
      <c r="P51" s="438"/>
      <c r="Q51" s="13"/>
    </row>
    <row r="52" spans="1:18" ht="16.2" customHeight="1" thickBot="1" x14ac:dyDescent="0.3">
      <c r="A52" s="440"/>
      <c r="B52" s="441"/>
      <c r="C52" s="383" t="s">
        <v>356</v>
      </c>
      <c r="D52" s="384"/>
      <c r="E52" s="97">
        <f>SUM(E45:E51)</f>
        <v>369.1</v>
      </c>
      <c r="F52" s="98">
        <f>SUM(F45:F51)</f>
        <v>7.7828688235294106</v>
      </c>
      <c r="G52" s="124">
        <f>SUM(G45:G51)</f>
        <v>1114.0595114</v>
      </c>
      <c r="H52" s="111">
        <f>SUM(H45:H51)</f>
        <v>60.8523</v>
      </c>
      <c r="I52" s="124"/>
      <c r="J52" s="111"/>
      <c r="K52" s="56"/>
      <c r="L52" s="56"/>
      <c r="M52" s="56"/>
      <c r="N52" s="59">
        <f>SUM(N45:N51)</f>
        <v>477.57999999999993</v>
      </c>
      <c r="O52" s="56"/>
      <c r="P52" s="439"/>
      <c r="Q52" s="151"/>
    </row>
    <row r="53" spans="1:18" ht="16.2" customHeight="1" thickBot="1" x14ac:dyDescent="0.3">
      <c r="A53" s="440"/>
      <c r="B53" s="405" t="s">
        <v>486</v>
      </c>
      <c r="C53" s="104" t="s">
        <v>458</v>
      </c>
      <c r="D53" s="16" t="s">
        <v>381</v>
      </c>
      <c r="E53" s="16">
        <v>45</v>
      </c>
      <c r="F53" s="296">
        <f>32/16</f>
        <v>2</v>
      </c>
      <c r="G53" s="136">
        <f>I53*0.2389/100*E53</f>
        <v>169.32037499999998</v>
      </c>
      <c r="H53" s="137">
        <f>J53/100*E53</f>
        <v>4.4550000000000001</v>
      </c>
      <c r="I53" s="125">
        <v>1575</v>
      </c>
      <c r="J53" s="112">
        <v>9.9</v>
      </c>
      <c r="K53" s="394" t="s">
        <v>591</v>
      </c>
      <c r="L53" s="395"/>
      <c r="M53" s="296"/>
      <c r="N53" s="296"/>
      <c r="O53" s="296"/>
      <c r="P53" s="427" t="s">
        <v>395</v>
      </c>
      <c r="Q53" s="152" t="s">
        <v>782</v>
      </c>
    </row>
    <row r="54" spans="1:18" ht="16.2" customHeight="1" x14ac:dyDescent="0.25">
      <c r="A54" s="440"/>
      <c r="B54" s="401"/>
      <c r="C54" s="102" t="s">
        <v>54</v>
      </c>
      <c r="D54" s="276" t="s">
        <v>57</v>
      </c>
      <c r="E54" s="276">
        <v>15</v>
      </c>
      <c r="F54" s="283">
        <f>12.8/10/2</f>
        <v>0.64</v>
      </c>
      <c r="G54" s="123">
        <f t="shared" ref="G54:G60" si="22">I54*0.2389/100*E54</f>
        <v>10.284644999999999</v>
      </c>
      <c r="H54" s="286">
        <f t="shared" ref="H54:H60" si="23">J54/100*E54</f>
        <v>0.20999999999999996</v>
      </c>
      <c r="I54" s="128">
        <v>287</v>
      </c>
      <c r="J54" s="115">
        <v>1.4</v>
      </c>
      <c r="K54" s="394" t="s">
        <v>591</v>
      </c>
      <c r="L54" s="395"/>
      <c r="M54" s="283"/>
      <c r="N54" s="283"/>
      <c r="O54" s="283" t="s">
        <v>300</v>
      </c>
      <c r="P54" s="428"/>
      <c r="Q54" s="13" t="s">
        <v>783</v>
      </c>
    </row>
    <row r="55" spans="1:18" ht="16.2" customHeight="1" x14ac:dyDescent="0.25">
      <c r="A55" s="440"/>
      <c r="B55" s="401"/>
      <c r="C55" s="102" t="s">
        <v>458</v>
      </c>
      <c r="D55" s="276" t="s">
        <v>310</v>
      </c>
      <c r="E55" s="276">
        <v>150</v>
      </c>
      <c r="F55" s="283">
        <f>N55/16</f>
        <v>3.125</v>
      </c>
      <c r="G55" s="123">
        <f>246.1/100*E55</f>
        <v>369.15</v>
      </c>
      <c r="H55" s="286">
        <f>9.5/100*E55</f>
        <v>14.25</v>
      </c>
      <c r="I55" s="287"/>
      <c r="J55" s="109"/>
      <c r="K55" s="392" t="s">
        <v>594</v>
      </c>
      <c r="L55" s="393"/>
      <c r="M55" s="283" t="s">
        <v>595</v>
      </c>
      <c r="N55" s="283">
        <f>30+20</f>
        <v>50</v>
      </c>
      <c r="O55" s="283" t="s">
        <v>596</v>
      </c>
      <c r="P55" s="428"/>
      <c r="Q55" s="13" t="s">
        <v>784</v>
      </c>
      <c r="R55" s="216" t="s">
        <v>832</v>
      </c>
    </row>
    <row r="56" spans="1:18" ht="16.2" customHeight="1" x14ac:dyDescent="0.25">
      <c r="A56" s="440"/>
      <c r="B56" s="401"/>
      <c r="C56" s="102" t="s">
        <v>619</v>
      </c>
      <c r="D56" s="276" t="s">
        <v>597</v>
      </c>
      <c r="E56" s="276">
        <v>31.2</v>
      </c>
      <c r="F56" s="283">
        <f>N56/16</f>
        <v>0.84375</v>
      </c>
      <c r="G56" s="123">
        <f t="shared" si="22"/>
        <v>50.386876799999996</v>
      </c>
      <c r="H56" s="286">
        <f t="shared" si="23"/>
        <v>2.1215999999999999</v>
      </c>
      <c r="I56" s="287">
        <v>676</v>
      </c>
      <c r="J56" s="109">
        <v>6.8</v>
      </c>
      <c r="K56" s="392" t="s">
        <v>598</v>
      </c>
      <c r="L56" s="393"/>
      <c r="M56" s="283" t="s">
        <v>341</v>
      </c>
      <c r="N56" s="283">
        <v>13.5</v>
      </c>
      <c r="O56" s="283" t="s">
        <v>599</v>
      </c>
      <c r="P56" s="428"/>
      <c r="Q56" s="13" t="s">
        <v>785</v>
      </c>
      <c r="R56" s="216" t="s">
        <v>833</v>
      </c>
    </row>
    <row r="57" spans="1:18" ht="16.2" customHeight="1" x14ac:dyDescent="0.25">
      <c r="A57" s="440"/>
      <c r="B57" s="401"/>
      <c r="C57" s="102" t="s">
        <v>619</v>
      </c>
      <c r="D57" s="276" t="s">
        <v>62</v>
      </c>
      <c r="E57" s="276">
        <v>46</v>
      </c>
      <c r="F57" s="283">
        <f>N47/2500*E57</f>
        <v>0.20203199999999999</v>
      </c>
      <c r="G57" s="123">
        <f t="shared" si="22"/>
        <v>83.629334</v>
      </c>
      <c r="H57" s="286">
        <f t="shared" si="23"/>
        <v>7.36</v>
      </c>
      <c r="I57" s="287">
        <v>761</v>
      </c>
      <c r="J57" s="109">
        <v>16</v>
      </c>
      <c r="K57" s="392" t="s">
        <v>580</v>
      </c>
      <c r="L57" s="393"/>
      <c r="M57" s="283"/>
      <c r="N57" s="283"/>
      <c r="O57" s="283"/>
      <c r="P57" s="428"/>
      <c r="Q57" s="13"/>
    </row>
    <row r="58" spans="1:18" ht="16.2" customHeight="1" x14ac:dyDescent="0.25">
      <c r="A58" s="440"/>
      <c r="B58" s="401"/>
      <c r="C58" s="102" t="s">
        <v>619</v>
      </c>
      <c r="D58" s="276" t="s">
        <v>61</v>
      </c>
      <c r="E58" s="276">
        <v>15</v>
      </c>
      <c r="F58" s="283">
        <v>3.12</v>
      </c>
      <c r="G58" s="123">
        <f t="shared" si="22"/>
        <v>41.78361000000001</v>
      </c>
      <c r="H58" s="286">
        <f t="shared" si="23"/>
        <v>8.82</v>
      </c>
      <c r="I58" s="287">
        <v>1166</v>
      </c>
      <c r="J58" s="109">
        <v>58.8</v>
      </c>
      <c r="K58" s="392" t="s">
        <v>582</v>
      </c>
      <c r="L58" s="393"/>
      <c r="M58" s="283"/>
      <c r="N58" s="283"/>
      <c r="O58" s="283"/>
      <c r="P58" s="428"/>
      <c r="Q58" s="13"/>
    </row>
    <row r="59" spans="1:18" ht="16.2" customHeight="1" x14ac:dyDescent="0.25">
      <c r="A59" s="440"/>
      <c r="B59" s="401"/>
      <c r="C59" s="102" t="s">
        <v>54</v>
      </c>
      <c r="D59" s="276" t="s">
        <v>568</v>
      </c>
      <c r="E59" s="276">
        <v>20</v>
      </c>
      <c r="F59" s="283">
        <f>N59/4/4</f>
        <v>1.055625</v>
      </c>
      <c r="G59" s="123">
        <f t="shared" si="22"/>
        <v>51.411280000000005</v>
      </c>
      <c r="H59" s="286">
        <f t="shared" si="23"/>
        <v>1.52</v>
      </c>
      <c r="I59" s="287">
        <v>1076</v>
      </c>
      <c r="J59" s="109">
        <v>7.6</v>
      </c>
      <c r="K59" s="392" t="s">
        <v>569</v>
      </c>
      <c r="L59" s="393"/>
      <c r="M59" s="283" t="s">
        <v>570</v>
      </c>
      <c r="N59" s="283">
        <f>2.13*7+1.98</f>
        <v>16.89</v>
      </c>
      <c r="O59" s="283" t="s">
        <v>300</v>
      </c>
      <c r="P59" s="428"/>
      <c r="Q59" s="13" t="s">
        <v>571</v>
      </c>
      <c r="R59" s="216" t="s">
        <v>839</v>
      </c>
    </row>
    <row r="60" spans="1:18" ht="16.2" customHeight="1" x14ac:dyDescent="0.25">
      <c r="A60" s="440"/>
      <c r="B60" s="401"/>
      <c r="C60" s="102" t="s">
        <v>457</v>
      </c>
      <c r="D60" s="276" t="s">
        <v>94</v>
      </c>
      <c r="E60" s="276">
        <v>18</v>
      </c>
      <c r="F60" s="283">
        <f>F6</f>
        <v>0.39636363636363636</v>
      </c>
      <c r="G60" s="123">
        <f t="shared" si="22"/>
        <v>88.025093999999996</v>
      </c>
      <c r="H60" s="286">
        <f t="shared" si="23"/>
        <v>1.2779999999999998</v>
      </c>
      <c r="I60" s="287">
        <v>2047</v>
      </c>
      <c r="J60" s="109">
        <v>7.1</v>
      </c>
      <c r="K60" s="392" t="s">
        <v>502</v>
      </c>
      <c r="L60" s="393"/>
      <c r="M60" s="283"/>
      <c r="N60" s="283"/>
      <c r="O60" s="283"/>
      <c r="P60" s="428"/>
      <c r="Q60" s="13"/>
    </row>
    <row r="61" spans="1:18" ht="16.2" customHeight="1" x14ac:dyDescent="0.25">
      <c r="A61" s="440"/>
      <c r="B61" s="401"/>
      <c r="C61" s="102" t="s">
        <v>460</v>
      </c>
      <c r="D61" s="276" t="s">
        <v>47</v>
      </c>
      <c r="E61" s="276">
        <v>30</v>
      </c>
      <c r="F61" s="283">
        <v>0</v>
      </c>
      <c r="G61" s="123">
        <f>G51</f>
        <v>69.089880000000008</v>
      </c>
      <c r="H61" s="123">
        <f>H51</f>
        <v>12.030000000000001</v>
      </c>
      <c r="I61" s="123"/>
      <c r="J61" s="286"/>
      <c r="K61" s="283"/>
      <c r="L61" s="283"/>
      <c r="M61" s="283"/>
      <c r="N61" s="283"/>
      <c r="O61" s="283"/>
      <c r="P61" s="428"/>
      <c r="Q61" s="13"/>
    </row>
    <row r="62" spans="1:18" ht="16.2" customHeight="1" thickBot="1" x14ac:dyDescent="0.3">
      <c r="A62" s="440"/>
      <c r="B62" s="404"/>
      <c r="C62" s="383" t="s">
        <v>356</v>
      </c>
      <c r="D62" s="384"/>
      <c r="E62" s="97">
        <f>SUM(E53:E61)</f>
        <v>370.2</v>
      </c>
      <c r="F62" s="98">
        <f>SUM(F53:F61)</f>
        <v>11.382770636363636</v>
      </c>
      <c r="G62" s="124">
        <f t="shared" ref="G62:H62" si="24">SUM(G53:G61)</f>
        <v>933.08109479999996</v>
      </c>
      <c r="H62" s="111">
        <f t="shared" si="24"/>
        <v>52.044600000000003</v>
      </c>
      <c r="I62" s="124"/>
      <c r="J62" s="111"/>
      <c r="K62" s="56"/>
      <c r="L62" s="56"/>
      <c r="M62" s="56"/>
      <c r="N62" s="59">
        <f>SUM(N53:N61)</f>
        <v>80.39</v>
      </c>
      <c r="O62" s="56"/>
      <c r="P62" s="429"/>
      <c r="Q62" s="151"/>
    </row>
    <row r="63" spans="1:18" ht="16.2" customHeight="1" x14ac:dyDescent="0.25">
      <c r="A63" s="440"/>
      <c r="B63" s="452" t="s">
        <v>485</v>
      </c>
      <c r="C63" s="285" t="s">
        <v>458</v>
      </c>
      <c r="D63" s="281" t="s">
        <v>387</v>
      </c>
      <c r="E63" s="281">
        <v>120</v>
      </c>
      <c r="F63" s="288">
        <f>N63/15</f>
        <v>1.9933333333333332</v>
      </c>
      <c r="G63" s="128">
        <f>I63*0.2389/100*E63</f>
        <v>426.86652000000004</v>
      </c>
      <c r="H63" s="115">
        <f>J63/100*E63</f>
        <v>6.7199999999999989</v>
      </c>
      <c r="I63" s="128">
        <v>1489</v>
      </c>
      <c r="J63" s="115">
        <v>5.6</v>
      </c>
      <c r="K63" s="442" t="s">
        <v>601</v>
      </c>
      <c r="L63" s="443"/>
      <c r="M63" s="288" t="s">
        <v>602</v>
      </c>
      <c r="N63" s="288">
        <v>29.9</v>
      </c>
      <c r="O63" s="288" t="s">
        <v>873</v>
      </c>
      <c r="P63" s="438" t="s">
        <v>806</v>
      </c>
      <c r="Q63" s="150" t="s">
        <v>786</v>
      </c>
      <c r="R63" s="216" t="s">
        <v>834</v>
      </c>
    </row>
    <row r="64" spans="1:18" ht="16.2" customHeight="1" x14ac:dyDescent="0.25">
      <c r="A64" s="440"/>
      <c r="B64" s="440"/>
      <c r="C64" s="102" t="s">
        <v>619</v>
      </c>
      <c r="D64" s="276" t="s">
        <v>390</v>
      </c>
      <c r="E64" s="276">
        <v>30</v>
      </c>
      <c r="F64" s="283">
        <f>N64/16</f>
        <v>1.4875</v>
      </c>
      <c r="G64" s="128">
        <f t="shared" ref="G64:G70" si="25">I64*0.2389/100*E64</f>
        <v>176.16485999999998</v>
      </c>
      <c r="H64" s="115">
        <f t="shared" ref="H64:H70" si="26">J64/100*E64</f>
        <v>4.8</v>
      </c>
      <c r="I64" s="287">
        <v>2458</v>
      </c>
      <c r="J64" s="109">
        <v>16</v>
      </c>
      <c r="K64" s="392" t="s">
        <v>604</v>
      </c>
      <c r="L64" s="393"/>
      <c r="M64" s="283" t="s">
        <v>341</v>
      </c>
      <c r="N64" s="283">
        <v>23.8</v>
      </c>
      <c r="O64" s="283" t="s">
        <v>605</v>
      </c>
      <c r="P64" s="438"/>
      <c r="Q64" s="13" t="s">
        <v>787</v>
      </c>
      <c r="R64" s="216" t="s">
        <v>835</v>
      </c>
    </row>
    <row r="65" spans="1:18" ht="16.2" customHeight="1" x14ac:dyDescent="0.25">
      <c r="A65" s="440"/>
      <c r="B65" s="440"/>
      <c r="C65" s="102" t="s">
        <v>54</v>
      </c>
      <c r="D65" s="276" t="s">
        <v>56</v>
      </c>
      <c r="E65" s="276">
        <v>16</v>
      </c>
      <c r="F65" s="283">
        <v>0.65</v>
      </c>
      <c r="G65" s="128">
        <f t="shared" si="25"/>
        <v>66.624431999999999</v>
      </c>
      <c r="H65" s="115">
        <f t="shared" si="26"/>
        <v>0.96</v>
      </c>
      <c r="I65" s="287">
        <v>1743</v>
      </c>
      <c r="J65" s="109">
        <v>6</v>
      </c>
      <c r="K65" s="392" t="s">
        <v>591</v>
      </c>
      <c r="L65" s="393"/>
      <c r="M65" s="283"/>
      <c r="N65" s="283"/>
      <c r="O65" s="283" t="s">
        <v>300</v>
      </c>
      <c r="P65" s="438"/>
      <c r="Q65" s="13" t="s">
        <v>788</v>
      </c>
    </row>
    <row r="66" spans="1:18" ht="16.2" customHeight="1" x14ac:dyDescent="0.25">
      <c r="A66" s="440"/>
      <c r="B66" s="440"/>
      <c r="C66" s="102" t="s">
        <v>54</v>
      </c>
      <c r="D66" s="276" t="s">
        <v>759</v>
      </c>
      <c r="E66" s="276">
        <v>20</v>
      </c>
      <c r="F66" s="283">
        <f>N66/16/2</f>
        <v>2.2312500000000002</v>
      </c>
      <c r="G66" s="128">
        <f t="shared" si="25"/>
        <v>104.54264000000001</v>
      </c>
      <c r="H66" s="115">
        <f t="shared" si="26"/>
        <v>3.2799999999999994</v>
      </c>
      <c r="I66" s="287">
        <v>2188</v>
      </c>
      <c r="J66" s="109">
        <v>16.399999999999999</v>
      </c>
      <c r="K66" s="392" t="s">
        <v>801</v>
      </c>
      <c r="L66" s="393"/>
      <c r="M66" s="283" t="s">
        <v>760</v>
      </c>
      <c r="N66" s="283">
        <f>4*23.8*0.75</f>
        <v>71.400000000000006</v>
      </c>
      <c r="O66" s="283" t="s">
        <v>878</v>
      </c>
      <c r="P66" s="438"/>
      <c r="Q66" s="13" t="s">
        <v>789</v>
      </c>
      <c r="R66" s="216" t="s">
        <v>836</v>
      </c>
    </row>
    <row r="67" spans="1:18" ht="16.2" customHeight="1" x14ac:dyDescent="0.25">
      <c r="A67" s="440"/>
      <c r="B67" s="440"/>
      <c r="C67" s="102" t="s">
        <v>619</v>
      </c>
      <c r="D67" s="276" t="s">
        <v>802</v>
      </c>
      <c r="E67" s="276">
        <v>19</v>
      </c>
      <c r="F67" s="283">
        <f>N67/20/2</f>
        <v>0.69000000000000006</v>
      </c>
      <c r="G67" s="128">
        <f t="shared" si="25"/>
        <v>6.990213999999999</v>
      </c>
      <c r="H67" s="115">
        <f t="shared" si="26"/>
        <v>0.36099999999999999</v>
      </c>
      <c r="I67" s="287">
        <v>154</v>
      </c>
      <c r="J67" s="109">
        <v>1.9</v>
      </c>
      <c r="K67" s="392" t="s">
        <v>804</v>
      </c>
      <c r="L67" s="393"/>
      <c r="M67" s="283" t="s">
        <v>751</v>
      </c>
      <c r="N67" s="283">
        <f>13.8*2</f>
        <v>27.6</v>
      </c>
      <c r="O67" s="283" t="s">
        <v>803</v>
      </c>
      <c r="P67" s="438"/>
      <c r="Q67" s="13" t="s">
        <v>805</v>
      </c>
      <c r="R67" s="216" t="s">
        <v>840</v>
      </c>
    </row>
    <row r="68" spans="1:18" ht="16.2" customHeight="1" x14ac:dyDescent="0.25">
      <c r="A68" s="440"/>
      <c r="B68" s="440"/>
      <c r="C68" s="102" t="s">
        <v>619</v>
      </c>
      <c r="D68" s="276" t="s">
        <v>62</v>
      </c>
      <c r="E68" s="276">
        <v>46.8</v>
      </c>
      <c r="F68" s="283">
        <f>N68/16/2</f>
        <v>0.24687500000000001</v>
      </c>
      <c r="G68" s="128">
        <f t="shared" si="25"/>
        <v>85.083757199999994</v>
      </c>
      <c r="H68" s="115">
        <f t="shared" si="26"/>
        <v>7.4879999999999995</v>
      </c>
      <c r="I68" s="287">
        <v>761</v>
      </c>
      <c r="J68" s="109">
        <v>16</v>
      </c>
      <c r="K68" s="392" t="s">
        <v>672</v>
      </c>
      <c r="L68" s="393"/>
      <c r="M68" s="283" t="s">
        <v>422</v>
      </c>
      <c r="N68" s="283">
        <v>7.9</v>
      </c>
      <c r="O68" s="283" t="s">
        <v>670</v>
      </c>
      <c r="P68" s="438"/>
      <c r="Q68" s="13" t="s">
        <v>790</v>
      </c>
      <c r="R68" s="216" t="s">
        <v>842</v>
      </c>
    </row>
    <row r="69" spans="1:18" ht="16.2" customHeight="1" x14ac:dyDescent="0.25">
      <c r="A69" s="440"/>
      <c r="B69" s="440"/>
      <c r="C69" s="102" t="s">
        <v>619</v>
      </c>
      <c r="D69" s="276" t="s">
        <v>61</v>
      </c>
      <c r="E69" s="276">
        <v>15.6</v>
      </c>
      <c r="F69" s="283">
        <f>F48</f>
        <v>3.1187499999999999</v>
      </c>
      <c r="G69" s="123">
        <f t="shared" ref="G69:H69" si="27">G48</f>
        <v>43.454954400000005</v>
      </c>
      <c r="H69" s="286">
        <f t="shared" si="27"/>
        <v>9.1727999999999987</v>
      </c>
      <c r="I69" s="287"/>
      <c r="J69" s="109"/>
      <c r="K69" s="392" t="s">
        <v>582</v>
      </c>
      <c r="L69" s="393"/>
      <c r="M69" s="283"/>
      <c r="N69" s="283"/>
      <c r="O69" s="283"/>
      <c r="P69" s="438"/>
      <c r="Q69" s="13"/>
    </row>
    <row r="70" spans="1:18" ht="16.2" customHeight="1" x14ac:dyDescent="0.25">
      <c r="A70" s="440"/>
      <c r="B70" s="440"/>
      <c r="C70" s="102" t="s">
        <v>460</v>
      </c>
      <c r="D70" s="276" t="s">
        <v>611</v>
      </c>
      <c r="E70" s="276">
        <v>40</v>
      </c>
      <c r="F70" s="283">
        <f>N70/35</f>
        <v>1.5628571428571429</v>
      </c>
      <c r="G70" s="128">
        <f t="shared" si="25"/>
        <v>66.605320000000006</v>
      </c>
      <c r="H70" s="115">
        <f t="shared" si="26"/>
        <v>7.52</v>
      </c>
      <c r="I70" s="287">
        <v>697</v>
      </c>
      <c r="J70" s="109">
        <v>18.8</v>
      </c>
      <c r="K70" s="392" t="s">
        <v>612</v>
      </c>
      <c r="L70" s="393"/>
      <c r="M70" s="283" t="s">
        <v>613</v>
      </c>
      <c r="N70" s="283">
        <f>44.9+9.8</f>
        <v>54.7</v>
      </c>
      <c r="O70" s="283" t="s">
        <v>615</v>
      </c>
      <c r="P70" s="438"/>
      <c r="Q70" s="13" t="s">
        <v>614</v>
      </c>
      <c r="R70" s="216" t="s">
        <v>837</v>
      </c>
    </row>
    <row r="71" spans="1:18" ht="16.2" customHeight="1" x14ac:dyDescent="0.25">
      <c r="A71" s="440"/>
      <c r="B71" s="440"/>
      <c r="C71" s="102" t="s">
        <v>460</v>
      </c>
      <c r="D71" s="276" t="s">
        <v>47</v>
      </c>
      <c r="E71" s="276">
        <v>30</v>
      </c>
      <c r="F71" s="283">
        <v>0</v>
      </c>
      <c r="G71" s="123">
        <f>G51</f>
        <v>69.089880000000008</v>
      </c>
      <c r="H71" s="123">
        <f>H51</f>
        <v>12.030000000000001</v>
      </c>
      <c r="I71" s="123"/>
      <c r="J71" s="286"/>
      <c r="K71" s="283"/>
      <c r="L71" s="283"/>
      <c r="M71" s="283"/>
      <c r="N71" s="283"/>
      <c r="O71" s="283"/>
      <c r="P71" s="438"/>
      <c r="Q71" s="13"/>
    </row>
    <row r="72" spans="1:18" ht="16.2" customHeight="1" x14ac:dyDescent="0.25">
      <c r="A72" s="440"/>
      <c r="B72" s="440"/>
      <c r="C72" s="102" t="s">
        <v>621</v>
      </c>
      <c r="D72" s="276" t="s">
        <v>146</v>
      </c>
      <c r="E72" s="276">
        <v>30</v>
      </c>
      <c r="F72" s="283">
        <f>F9</f>
        <v>1.032</v>
      </c>
      <c r="G72" s="123">
        <f t="shared" ref="G72:H72" si="28">G9</f>
        <v>121.839</v>
      </c>
      <c r="H72" s="286">
        <f t="shared" si="28"/>
        <v>5.3999999999999995</v>
      </c>
      <c r="I72" s="123"/>
      <c r="J72" s="286"/>
      <c r="K72" s="392" t="s">
        <v>794</v>
      </c>
      <c r="L72" s="393"/>
      <c r="M72" s="283"/>
      <c r="N72" s="283"/>
      <c r="O72" s="283"/>
      <c r="P72" s="438"/>
      <c r="Q72" s="13"/>
    </row>
    <row r="73" spans="1:18" ht="16.2" customHeight="1" x14ac:dyDescent="0.25">
      <c r="A73" s="440"/>
      <c r="B73" s="440"/>
      <c r="C73" s="102" t="s">
        <v>619</v>
      </c>
      <c r="D73" s="276" t="s">
        <v>53</v>
      </c>
      <c r="E73" s="276">
        <v>20</v>
      </c>
      <c r="F73" s="283">
        <v>0.46</v>
      </c>
      <c r="G73" s="128">
        <f t="shared" ref="G73" si="29">I73*0.2389/100*E73</f>
        <v>51.076819999999998</v>
      </c>
      <c r="H73" s="115">
        <f t="shared" ref="H73" si="30">J73/100*E73</f>
        <v>1.26</v>
      </c>
      <c r="I73" s="287">
        <v>1069</v>
      </c>
      <c r="J73" s="109">
        <v>6.3</v>
      </c>
      <c r="K73" s="392" t="s">
        <v>591</v>
      </c>
      <c r="L73" s="393"/>
      <c r="M73" s="283"/>
      <c r="N73" s="283"/>
      <c r="O73" s="283"/>
      <c r="P73" s="438"/>
      <c r="Q73" s="13" t="s">
        <v>795</v>
      </c>
    </row>
    <row r="74" spans="1:18" ht="16.2" customHeight="1" x14ac:dyDescent="0.25">
      <c r="A74" s="407"/>
      <c r="B74" s="407"/>
      <c r="C74" s="385" t="s">
        <v>356</v>
      </c>
      <c r="D74" s="386"/>
      <c r="E74" s="69">
        <f>SUM(E63:E73)</f>
        <v>387.40000000000003</v>
      </c>
      <c r="F74" s="101">
        <f>SUM(F63:F73)</f>
        <v>13.472565476190477</v>
      </c>
      <c r="G74" s="132">
        <f>SUM(G63:G73)</f>
        <v>1218.3383976</v>
      </c>
      <c r="H74" s="119">
        <f>SUM(H63:H73)</f>
        <v>58.991799999999998</v>
      </c>
      <c r="I74" s="132"/>
      <c r="J74" s="119"/>
      <c r="K74" s="57"/>
      <c r="L74" s="57"/>
      <c r="M74" s="57"/>
      <c r="N74" s="62">
        <f>SUM(N63:N73)</f>
        <v>215.3</v>
      </c>
      <c r="O74" s="57"/>
      <c r="P74" s="408"/>
      <c r="Q74" s="13"/>
    </row>
    <row r="76" spans="1:18" ht="21" customHeight="1" x14ac:dyDescent="0.25">
      <c r="F76" s="220" t="s">
        <v>364</v>
      </c>
      <c r="G76" s="221" t="s">
        <v>858</v>
      </c>
      <c r="H76" s="222" t="s">
        <v>859</v>
      </c>
      <c r="I76" s="222" t="s">
        <v>860</v>
      </c>
      <c r="J76" s="222" t="s">
        <v>117</v>
      </c>
      <c r="K76" s="303" t="s">
        <v>976</v>
      </c>
    </row>
    <row r="77" spans="1:18" x14ac:dyDescent="0.25">
      <c r="F77" s="288" t="s">
        <v>675</v>
      </c>
      <c r="G77" s="126">
        <f>G8</f>
        <v>763.3175126000001</v>
      </c>
      <c r="H77" s="113">
        <f>H8</f>
        <v>24.557800000000004</v>
      </c>
      <c r="I77" s="288">
        <f>F8</f>
        <v>3.3866414141414145</v>
      </c>
      <c r="J77" s="160" t="s">
        <v>694</v>
      </c>
      <c r="K77" s="444" t="s">
        <v>977</v>
      </c>
    </row>
    <row r="78" spans="1:18" x14ac:dyDescent="0.25">
      <c r="F78" s="283" t="s">
        <v>677</v>
      </c>
      <c r="G78" s="123">
        <f>G15</f>
        <v>774.08067429999994</v>
      </c>
      <c r="H78" s="286">
        <f>H15</f>
        <v>24.520199999999999</v>
      </c>
      <c r="I78" s="283">
        <f>F15</f>
        <v>4.2362339813800656</v>
      </c>
      <c r="J78" s="157" t="s">
        <v>695</v>
      </c>
      <c r="K78" s="457"/>
    </row>
    <row r="79" spans="1:18" ht="16.8" thickBot="1" x14ac:dyDescent="0.3">
      <c r="F79" s="292" t="s">
        <v>678</v>
      </c>
      <c r="G79" s="142">
        <f>G20</f>
        <v>775.57236589999991</v>
      </c>
      <c r="H79" s="143">
        <f>H20</f>
        <v>23.503200000000003</v>
      </c>
      <c r="I79" s="292">
        <f>F20</f>
        <v>2.6604166666666664</v>
      </c>
      <c r="J79" s="161" t="s">
        <v>37</v>
      </c>
      <c r="K79" s="457"/>
    </row>
    <row r="80" spans="1:18" x14ac:dyDescent="0.25">
      <c r="F80" s="296" t="s">
        <v>679</v>
      </c>
      <c r="G80" s="144">
        <f>G25</f>
        <v>784.413816</v>
      </c>
      <c r="H80" s="138">
        <f>H25</f>
        <v>31.880000000000003</v>
      </c>
      <c r="I80" s="296">
        <f>F25</f>
        <v>3.335094537815126</v>
      </c>
      <c r="J80" s="162" t="s">
        <v>696</v>
      </c>
      <c r="K80" s="457"/>
    </row>
    <row r="81" spans="5:12" x14ac:dyDescent="0.25">
      <c r="F81" s="283" t="s">
        <v>680</v>
      </c>
      <c r="G81" s="123">
        <f>G31</f>
        <v>677.02133790000005</v>
      </c>
      <c r="H81" s="286">
        <f>H31</f>
        <v>26.7256</v>
      </c>
      <c r="I81" s="283">
        <f>F31</f>
        <v>4.2146953781512604</v>
      </c>
      <c r="J81" s="157" t="s">
        <v>697</v>
      </c>
      <c r="K81" s="457"/>
    </row>
    <row r="82" spans="5:12" x14ac:dyDescent="0.25">
      <c r="F82" s="283" t="s">
        <v>681</v>
      </c>
      <c r="G82" s="123">
        <f>G38</f>
        <v>699.01444480000009</v>
      </c>
      <c r="H82" s="286">
        <f>H38</f>
        <v>31.020200000000003</v>
      </c>
      <c r="I82" s="283">
        <f>F38</f>
        <v>4.2733088235294119</v>
      </c>
      <c r="J82" s="157" t="s">
        <v>696</v>
      </c>
      <c r="K82" s="457"/>
    </row>
    <row r="83" spans="5:12" ht="16.8" thickBot="1" x14ac:dyDescent="0.3">
      <c r="F83" s="145" t="s">
        <v>682</v>
      </c>
      <c r="G83" s="142">
        <f>G44</f>
        <v>596.24662000000001</v>
      </c>
      <c r="H83" s="143">
        <f>H44</f>
        <v>36.1</v>
      </c>
      <c r="I83" s="292">
        <f>F44</f>
        <v>4.730036144578313</v>
      </c>
      <c r="J83" s="161" t="s">
        <v>697</v>
      </c>
      <c r="K83" s="457"/>
    </row>
    <row r="84" spans="5:12" x14ac:dyDescent="0.25">
      <c r="F84" s="288" t="s">
        <v>683</v>
      </c>
      <c r="G84" s="126">
        <f>G52</f>
        <v>1114.0595114</v>
      </c>
      <c r="H84" s="113">
        <f>H52</f>
        <v>60.8523</v>
      </c>
      <c r="I84" s="288">
        <f>F52</f>
        <v>7.7828688235294106</v>
      </c>
      <c r="J84" s="160" t="s">
        <v>63</v>
      </c>
      <c r="K84" s="457"/>
    </row>
    <row r="85" spans="5:12" x14ac:dyDescent="0.25">
      <c r="F85" s="283" t="s">
        <v>684</v>
      </c>
      <c r="G85" s="123">
        <f>G62</f>
        <v>933.08109479999996</v>
      </c>
      <c r="H85" s="286">
        <f>H62</f>
        <v>52.044600000000003</v>
      </c>
      <c r="I85" s="283">
        <f>F62</f>
        <v>11.382770636363636</v>
      </c>
      <c r="J85" s="157" t="s">
        <v>44</v>
      </c>
      <c r="K85" s="457"/>
    </row>
    <row r="86" spans="5:12" x14ac:dyDescent="0.25">
      <c r="F86" s="283" t="s">
        <v>685</v>
      </c>
      <c r="G86" s="123">
        <f>G74</f>
        <v>1218.3383976</v>
      </c>
      <c r="H86" s="286">
        <f>H74</f>
        <v>58.991799999999998</v>
      </c>
      <c r="I86" s="283">
        <f>F74</f>
        <v>13.472565476190477</v>
      </c>
      <c r="J86" s="157" t="s">
        <v>707</v>
      </c>
      <c r="K86" s="457"/>
    </row>
    <row r="87" spans="5:12" x14ac:dyDescent="0.25">
      <c r="E87" s="186"/>
      <c r="F87" s="139"/>
      <c r="G87" s="166"/>
      <c r="H87" s="167"/>
      <c r="I87" s="139"/>
      <c r="J87" s="168"/>
      <c r="K87" s="139"/>
    </row>
    <row r="88" spans="5:12" ht="21" customHeight="1" x14ac:dyDescent="0.25">
      <c r="F88" s="220" t="s">
        <v>27</v>
      </c>
      <c r="G88" s="221" t="s">
        <v>28</v>
      </c>
      <c r="H88" s="222" t="s">
        <v>29</v>
      </c>
      <c r="I88" s="221" t="s">
        <v>699</v>
      </c>
      <c r="J88" s="222" t="s">
        <v>858</v>
      </c>
      <c r="K88" s="223" t="s">
        <v>676</v>
      </c>
      <c r="L88" s="223" t="s">
        <v>353</v>
      </c>
    </row>
    <row r="89" spans="5:12" x14ac:dyDescent="0.25">
      <c r="F89" s="281" t="s">
        <v>748</v>
      </c>
      <c r="G89" s="290" t="s">
        <v>121</v>
      </c>
      <c r="H89" s="281" t="s">
        <v>749</v>
      </c>
      <c r="I89" s="126" t="s">
        <v>693</v>
      </c>
      <c r="J89" s="113">
        <f>G83</f>
        <v>596.24662000000001</v>
      </c>
      <c r="K89" s="113">
        <f>H83</f>
        <v>36.1</v>
      </c>
      <c r="L89" s="288">
        <f>I83</f>
        <v>4.730036144578313</v>
      </c>
    </row>
    <row r="90" spans="5:12" x14ac:dyDescent="0.25">
      <c r="F90" s="276" t="s">
        <v>749</v>
      </c>
      <c r="G90" s="69" t="s">
        <v>121</v>
      </c>
      <c r="H90" s="69" t="s">
        <v>122</v>
      </c>
      <c r="I90" s="123" t="s">
        <v>692</v>
      </c>
      <c r="J90" s="286">
        <f>G82+G84</f>
        <v>1813.0739562000001</v>
      </c>
      <c r="K90" s="286">
        <f>H82+H84</f>
        <v>91.872500000000002</v>
      </c>
      <c r="L90" s="286">
        <f>I82+I84</f>
        <v>12.056177647058822</v>
      </c>
    </row>
    <row r="91" spans="5:12" x14ac:dyDescent="0.25">
      <c r="F91" s="69" t="s">
        <v>123</v>
      </c>
      <c r="G91" s="69" t="s">
        <v>121</v>
      </c>
      <c r="H91" s="69" t="s">
        <v>122</v>
      </c>
      <c r="I91" s="123" t="s">
        <v>690</v>
      </c>
      <c r="J91" s="286">
        <f>G78+G80+G85</f>
        <v>2491.5755850999999</v>
      </c>
      <c r="K91" s="286">
        <f>H78+H80+H85</f>
        <v>108.4448</v>
      </c>
      <c r="L91" s="286">
        <f>I78+I80+I85</f>
        <v>18.954099155558829</v>
      </c>
    </row>
    <row r="92" spans="5:12" x14ac:dyDescent="0.25">
      <c r="F92" s="69" t="s">
        <v>123</v>
      </c>
      <c r="G92" s="69" t="s">
        <v>121</v>
      </c>
      <c r="H92" s="69" t="s">
        <v>122</v>
      </c>
      <c r="I92" s="123" t="s">
        <v>688</v>
      </c>
      <c r="J92" s="286">
        <f>G77+G81+G86</f>
        <v>2658.6772481000003</v>
      </c>
      <c r="K92" s="286">
        <f>H77+H81+H86</f>
        <v>110.2752</v>
      </c>
      <c r="L92" s="286">
        <f>I77+I81+I86</f>
        <v>21.073902268483153</v>
      </c>
    </row>
    <row r="93" spans="5:12" x14ac:dyDescent="0.25">
      <c r="F93" s="69" t="s">
        <v>123</v>
      </c>
      <c r="G93" s="69" t="s">
        <v>121</v>
      </c>
      <c r="H93" s="69" t="s">
        <v>122</v>
      </c>
      <c r="I93" s="123" t="s">
        <v>689</v>
      </c>
      <c r="J93" s="286">
        <f>G79+G80+G84</f>
        <v>2674.0456932999996</v>
      </c>
      <c r="K93" s="286">
        <f>H79+H80+H84</f>
        <v>116.2355</v>
      </c>
      <c r="L93" s="286">
        <f>I79+I80+I84</f>
        <v>13.778380028011203</v>
      </c>
    </row>
    <row r="94" spans="5:12" x14ac:dyDescent="0.25">
      <c r="F94" s="69" t="s">
        <v>123</v>
      </c>
      <c r="G94" s="69" t="s">
        <v>121</v>
      </c>
      <c r="H94" s="276" t="s">
        <v>700</v>
      </c>
      <c r="I94" s="123" t="s">
        <v>691</v>
      </c>
      <c r="J94" s="286">
        <f>G77+G81</f>
        <v>1440.3388505000003</v>
      </c>
      <c r="K94" s="286">
        <f>H77+H81</f>
        <v>51.2834</v>
      </c>
      <c r="L94" s="286">
        <f>I77+I81</f>
        <v>7.6013367922926749</v>
      </c>
    </row>
    <row r="95" spans="5:12" x14ac:dyDescent="0.25">
      <c r="F95" s="280" t="s">
        <v>700</v>
      </c>
      <c r="G95" s="280" t="s">
        <v>397</v>
      </c>
      <c r="H95" s="280" t="s">
        <v>401</v>
      </c>
      <c r="I95" s="449"/>
      <c r="J95" s="450"/>
      <c r="K95" s="450"/>
      <c r="L95" s="451"/>
    </row>
    <row r="96" spans="5:12" x14ac:dyDescent="0.25">
      <c r="E96" s="133"/>
      <c r="F96" s="385" t="s">
        <v>686</v>
      </c>
      <c r="G96" s="458"/>
      <c r="H96" s="386"/>
      <c r="I96" s="123" t="s">
        <v>687</v>
      </c>
      <c r="J96" s="286">
        <f>G79+G83+G86</f>
        <v>2590.1573834999999</v>
      </c>
      <c r="K96" s="286">
        <f>H79+H83+H86</f>
        <v>118.595</v>
      </c>
      <c r="L96" s="286">
        <f>I79+I83+I86</f>
        <v>20.863018287435455</v>
      </c>
    </row>
    <row r="97" spans="12:12" x14ac:dyDescent="0.25">
      <c r="L97" s="323" t="s">
        <v>991</v>
      </c>
    </row>
  </sheetData>
  <mergeCells count="93">
    <mergeCell ref="P53:P62"/>
    <mergeCell ref="K54:L54"/>
    <mergeCell ref="K55:L55"/>
    <mergeCell ref="K56:L56"/>
    <mergeCell ref="F96:H96"/>
    <mergeCell ref="K70:L70"/>
    <mergeCell ref="K72:L72"/>
    <mergeCell ref="K73:L73"/>
    <mergeCell ref="K77:K86"/>
    <mergeCell ref="I95:L95"/>
    <mergeCell ref="P63:P74"/>
    <mergeCell ref="K64:L64"/>
    <mergeCell ref="K65:L65"/>
    <mergeCell ref="K66:L66"/>
    <mergeCell ref="K67:L67"/>
    <mergeCell ref="K68:L68"/>
    <mergeCell ref="K69:L69"/>
    <mergeCell ref="K57:L57"/>
    <mergeCell ref="K58:L58"/>
    <mergeCell ref="K59:L59"/>
    <mergeCell ref="K60:L60"/>
    <mergeCell ref="A45:A74"/>
    <mergeCell ref="B45:B52"/>
    <mergeCell ref="K45:L45"/>
    <mergeCell ref="C52:D52"/>
    <mergeCell ref="C62:D62"/>
    <mergeCell ref="B63:B74"/>
    <mergeCell ref="K63:L63"/>
    <mergeCell ref="B53:B62"/>
    <mergeCell ref="K53:L53"/>
    <mergeCell ref="C74:D74"/>
    <mergeCell ref="P45:P52"/>
    <mergeCell ref="K46:L46"/>
    <mergeCell ref="K47:L47"/>
    <mergeCell ref="K48:L48"/>
    <mergeCell ref="K49:L49"/>
    <mergeCell ref="K50:L50"/>
    <mergeCell ref="P39:P44"/>
    <mergeCell ref="K40:L40"/>
    <mergeCell ref="K41:L41"/>
    <mergeCell ref="K42:L42"/>
    <mergeCell ref="C44:D44"/>
    <mergeCell ref="P32:P38"/>
    <mergeCell ref="K33:L33"/>
    <mergeCell ref="K34:L34"/>
    <mergeCell ref="K35:L35"/>
    <mergeCell ref="K36:L36"/>
    <mergeCell ref="B32:B38"/>
    <mergeCell ref="K32:L32"/>
    <mergeCell ref="A21:A44"/>
    <mergeCell ref="B21:B25"/>
    <mergeCell ref="K21:L21"/>
    <mergeCell ref="C38:D38"/>
    <mergeCell ref="K27:L27"/>
    <mergeCell ref="K28:L28"/>
    <mergeCell ref="K29:L29"/>
    <mergeCell ref="C31:D31"/>
    <mergeCell ref="B39:B44"/>
    <mergeCell ref="K39:L39"/>
    <mergeCell ref="P21:P25"/>
    <mergeCell ref="K22:L22"/>
    <mergeCell ref="K23:L23"/>
    <mergeCell ref="C25:D25"/>
    <mergeCell ref="B26:B31"/>
    <mergeCell ref="K26:L26"/>
    <mergeCell ref="P26:P31"/>
    <mergeCell ref="P16:P20"/>
    <mergeCell ref="K17:L17"/>
    <mergeCell ref="K18:L18"/>
    <mergeCell ref="C20:D20"/>
    <mergeCell ref="P9:P15"/>
    <mergeCell ref="K11:L11"/>
    <mergeCell ref="K12:L12"/>
    <mergeCell ref="K13:L13"/>
    <mergeCell ref="C15:D15"/>
    <mergeCell ref="B16:B20"/>
    <mergeCell ref="C16:C17"/>
    <mergeCell ref="A1:J1"/>
    <mergeCell ref="A2:B2"/>
    <mergeCell ref="P2:Q2"/>
    <mergeCell ref="A3:A20"/>
    <mergeCell ref="B3:B8"/>
    <mergeCell ref="C3:C4"/>
    <mergeCell ref="K3:L3"/>
    <mergeCell ref="P3:P8"/>
    <mergeCell ref="K4:L4"/>
    <mergeCell ref="K5:L5"/>
    <mergeCell ref="K6:L6"/>
    <mergeCell ref="C8:D8"/>
    <mergeCell ref="B9:B15"/>
    <mergeCell ref="C9:C11"/>
    <mergeCell ref="K9:L9"/>
    <mergeCell ref="K10:L10"/>
  </mergeCells>
  <phoneticPr fontId="1" type="noConversion"/>
  <hyperlinks>
    <hyperlink ref="R17" r:id="rId1" xr:uid="{BC7C6F13-A898-4D10-B7F2-F12B32FFCEB4}"/>
    <hyperlink ref="R55" r:id="rId2" xr:uid="{23CB9A13-F5B3-460E-A678-C23EAEB984C3}"/>
    <hyperlink ref="R11" r:id="rId3" xr:uid="{592E9C65-59A5-4F7E-94AE-EDE35C9F4AE8}"/>
    <hyperlink ref="R27" r:id="rId4" xr:uid="{531F86F5-F0D1-483A-BFD5-2124BACA5ADC}"/>
    <hyperlink ref="R56" r:id="rId5" xr:uid="{7955B1A7-FF58-4CD2-8608-FCCFC44DAE76}"/>
    <hyperlink ref="R63" r:id="rId6" xr:uid="{BDF272DE-452D-411A-A010-0407AEA7E38D}"/>
    <hyperlink ref="R70" r:id="rId7" xr:uid="{FB46A179-77D7-4E22-8378-016513E145E5}"/>
    <hyperlink ref="R4" r:id="rId8" xr:uid="{8CF19693-8D51-421E-BA58-588084590CCF}"/>
    <hyperlink ref="R5" r:id="rId9" xr:uid="{F54988FC-321C-4F00-9713-54343B24C0A6}"/>
    <hyperlink ref="R22" r:id="rId10" xr:uid="{834BDE63-BC4F-4149-B74B-024B397230D1}"/>
    <hyperlink ref="R12" r:id="rId11" xr:uid="{E726991F-7B91-433A-93BF-4A40149F147E}"/>
    <hyperlink ref="R18" r:id="rId12" xr:uid="{3FCD2632-C1D6-4CA5-821A-A1F8F5460C9B}"/>
    <hyperlink ref="R21" r:id="rId13" xr:uid="{3CC59AA3-5960-40AC-822F-E630DDCB10DB}"/>
    <hyperlink ref="R26" r:id="rId14" xr:uid="{8ED82ED0-3082-406A-8DBD-2B0AA90C8379}"/>
    <hyperlink ref="R32" r:id="rId15" xr:uid="{3243DE8B-575F-4C97-A892-141B9C4E75C7}"/>
    <hyperlink ref="R33" r:id="rId16" xr:uid="{5E5321A5-60C4-44B6-BED3-6A5604EB9364}"/>
    <hyperlink ref="R39" r:id="rId17" xr:uid="{AA906F90-6614-4E91-BF2D-270423A6CDD2}"/>
    <hyperlink ref="R50" r:id="rId18" xr:uid="{445F7699-94CF-4508-994A-078D6C9D0404}"/>
    <hyperlink ref="R64" r:id="rId19" xr:uid="{C23A722D-FDE2-4986-BF4D-653253982818}"/>
    <hyperlink ref="R28" r:id="rId20" xr:uid="{D8B109FA-A1A4-4C95-AA1E-D09011D123FA}"/>
    <hyperlink ref="R6" r:id="rId21" xr:uid="{9D484EDB-3ECA-4197-AD05-A89FDDA0E565}"/>
    <hyperlink ref="R42" r:id="rId22" xr:uid="{9DE8214C-151A-4F59-A29B-BE87BD0AA7C9}"/>
    <hyperlink ref="R9" r:id="rId23" xr:uid="{DEC59BD5-0F76-4866-AF93-FDF06BDE03CA}"/>
    <hyperlink ref="R48" r:id="rId24" xr:uid="{7344F99F-75D8-4AF3-9115-959E453EB6F0}"/>
    <hyperlink ref="R36" r:id="rId25" xr:uid="{3E964442-0B0C-436E-A48B-FD8346676317}"/>
    <hyperlink ref="R49" r:id="rId26" xr:uid="{1F4F5CEC-6B83-4FC3-9351-35AEF2BA68D2}"/>
    <hyperlink ref="R29" r:id="rId27" xr:uid="{36CC8B7E-B838-4E62-8B35-B399FFC7B845}"/>
    <hyperlink ref="R66" r:id="rId28" xr:uid="{CC9D3F16-C989-4D54-A76E-284D3228C388}"/>
    <hyperlink ref="R46" r:id="rId29" xr:uid="{4CF51A8C-43D1-4EAC-9363-1EF610B476D6}"/>
    <hyperlink ref="R45" r:id="rId30" xr:uid="{275676E3-19E4-450A-B17F-BBEF75773D2A}"/>
    <hyperlink ref="R59" r:id="rId31" xr:uid="{9A51C41A-EE53-4D5D-B6D8-45E5CA213750}"/>
    <hyperlink ref="R67" r:id="rId32" xr:uid="{A63B7700-AC00-4BD7-99BA-B03191B50340}"/>
    <hyperlink ref="R47" r:id="rId33" xr:uid="{B30D4D87-8E0B-4B03-B70C-8AB776AC56F3}"/>
    <hyperlink ref="R68" r:id="rId34" xr:uid="{5B4584DC-E443-4565-8861-63615D5FB92D}"/>
  </hyperlinks>
  <pageMargins left="0.7" right="0.7" top="0.75" bottom="0.75" header="0.3" footer="0.3"/>
  <pageSetup paperSize="9" orientation="portrait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表单目录</vt:lpstr>
      <vt:lpstr>疑问系列</vt:lpstr>
      <vt:lpstr>食品安排日程版</vt:lpstr>
      <vt:lpstr>食品预算表</vt:lpstr>
      <vt:lpstr>食品罗列版</vt:lpstr>
      <vt:lpstr>食品安排_正餐篇V1</vt:lpstr>
      <vt:lpstr>食品安排_正餐篇V2</vt:lpstr>
      <vt:lpstr>食品安排_正餐篇V3</vt:lpstr>
      <vt:lpstr>食品安排_正餐篇 终版</vt:lpstr>
      <vt:lpstr>食品安排_行动食品篇</vt:lpstr>
      <vt:lpstr>食品安排_赞助统计</vt:lpstr>
      <vt:lpstr>食品安排_花销统计V1</vt:lpstr>
      <vt:lpstr>食品安排_花销统计V2</vt:lpstr>
      <vt:lpstr>食品_多余清单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liangxf</dc:creator>
  <cp:lastModifiedBy>liangxf</cp:lastModifiedBy>
  <dcterms:created xsi:type="dcterms:W3CDTF">2020-12-23T16:40:52Z</dcterms:created>
  <dcterms:modified xsi:type="dcterms:W3CDTF">2021-05-21T23:17:11Z</dcterms:modified>
</cp:coreProperties>
</file>